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35" activeTab="2"/>
  </bookViews>
  <sheets>
    <sheet name="доходная часть" sheetId="1" r:id="rId1"/>
    <sheet name="расходная часть" sheetId="2" r:id="rId2"/>
    <sheet name="источники" sheetId="3" r:id="rId3"/>
  </sheets>
  <definedNames>
    <definedName name="_xlnm.Print_Area" localSheetId="0">'доходная часть'!$A$1:$K$122,'доходная часть'!$P$11</definedName>
  </definedNames>
  <calcPr fullCalcOnLoad="1"/>
</workbook>
</file>

<file path=xl/sharedStrings.xml><?xml version="1.0" encoding="utf-8"?>
<sst xmlns="http://schemas.openxmlformats.org/spreadsheetml/2006/main" count="1615" uniqueCount="508">
  <si>
    <t xml:space="preserve">                                                                                  Приложение №  1</t>
  </si>
  <si>
    <t xml:space="preserve">                                                                      к решению  Алданского районного Совета</t>
  </si>
  <si>
    <t>"О бюджете муниципального образования</t>
  </si>
  <si>
    <t>"Алданский район" на 2011 год"</t>
  </si>
  <si>
    <t xml:space="preserve"> </t>
  </si>
  <si>
    <t xml:space="preserve">от 24.12.2010 № 21-2 </t>
  </si>
  <si>
    <t>Доходы бюджета муниципального образования "Алданский район" на 2011 год</t>
  </si>
  <si>
    <t>(тыс. руб.)</t>
  </si>
  <si>
    <t xml:space="preserve">Код </t>
  </si>
  <si>
    <t xml:space="preserve">Наименование </t>
  </si>
  <si>
    <t>Сумма</t>
  </si>
  <si>
    <t>Проект решения за счет дополнительных доходов</t>
  </si>
  <si>
    <t>Итого налоговые и неналоговые доходы</t>
  </si>
  <si>
    <t>Налоговые доходы</t>
  </si>
  <si>
    <t>1 01 00000 00 0000 000</t>
  </si>
  <si>
    <t>Налог на доходы физических лиц</t>
  </si>
  <si>
    <t>1 01 02010 01 0000 110</t>
  </si>
  <si>
    <t>1 01 02021 01 0000 110</t>
  </si>
  <si>
    <t>1 01 02022 01 0000 110</t>
  </si>
  <si>
    <t>1 01 02030 01 0000 110</t>
  </si>
  <si>
    <t>1 01 02040 01 0000 110</t>
  </si>
  <si>
    <t>1 01 02050 01 0000 110</t>
  </si>
  <si>
    <t>1 05 00000 00 0000 000</t>
  </si>
  <si>
    <t>Налог на совокупный доход</t>
  </si>
  <si>
    <t>1 05 01010 01 0000 110</t>
  </si>
  <si>
    <t>Единый налог, взимаемый в связи с применением упрощенной системы налогообложения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</si>
  <si>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</si>
  <si>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</si>
  <si>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</si>
  <si>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</si>
  <si>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</si>
  <si>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</si>
  <si>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 на имущество</t>
  </si>
  <si>
    <t>1 06 01030 00 0000 110</t>
  </si>
  <si>
    <t>Налог на имущество с физических лиц</t>
  </si>
  <si>
    <t>1 06 05000 02 0000 110</t>
  </si>
  <si>
    <t>Налог на игорный бизнес</t>
  </si>
  <si>
    <t>1 06 06000 00 0000 110</t>
  </si>
  <si>
    <t xml:space="preserve">Земельный налог </t>
  </si>
  <si>
    <t>1 06 06023 00 0000 110</t>
  </si>
  <si>
    <t>1 07 00000 00 0000 000</t>
  </si>
  <si>
    <t>Налоги, сборы и регулярные платежи за польз.пр./рес.</t>
  </si>
  <si>
    <t>1 07 01020 01 0000 110</t>
  </si>
  <si>
    <t>Налог на добычу общераспр.полезных ископ.</t>
  </si>
  <si>
    <t>1 08 00000 00 0000 000</t>
  </si>
  <si>
    <t>Государственная пошлина</t>
  </si>
  <si>
    <t>1 08 03010 01 0000 110</t>
  </si>
  <si>
    <t>Госпошлина с исковых и иных заявлений и жалоб, подаваемых в суды общей юрисдикции</t>
  </si>
  <si>
    <t>1 08 04000 01 0000 110</t>
  </si>
  <si>
    <t>Госпошлина за совершение нотариальных действий</t>
  </si>
  <si>
    <t>1 08 07140 01 0000 110</t>
  </si>
  <si>
    <t>Госпошлина за регистрацию транспорта</t>
  </si>
  <si>
    <t>1 09 00000 00 0000 000</t>
  </si>
  <si>
    <t>Задолженность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</si>
  <si>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</si>
  <si>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</si>
  <si>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</si>
  <si>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1 11 05035 00 0000 120</t>
  </si>
  <si>
    <t>Дох.от сдачи в аренду имущества находящегося в оперативном управлении органов управления муниципальных районов и созданных ими учреждений</t>
  </si>
  <si>
    <t>1 11 05035 05 0001 120</t>
  </si>
  <si>
    <t xml:space="preserve">доходы от сдачи в аренду имущества, находящегося в оперативном управлении муниципального общеобразовательного учреждения Алданского района дополнительного образования детей – «Детско-юношеская спортивная школа г. Алдан»; </t>
  </si>
  <si>
    <t>1 11 05010 00 0000 120</t>
  </si>
  <si>
    <t xml:space="preserve">Доходы от арендной платы за земельные участки,  гос.собственность на которые не разграничена  а также  средства от продажи права на заключение договоров аренды </t>
  </si>
  <si>
    <t>1 11 07000 00 0000 120</t>
  </si>
  <si>
    <t>Платежи от государ.и муниц.унитарных предприятий</t>
  </si>
  <si>
    <t>1 12 01000 01 0000 120</t>
  </si>
  <si>
    <t>Плата за негативное воздействие на окружающую среду</t>
  </si>
  <si>
    <t>1 14 00000 00 0000 410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</si>
  <si>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</si>
  <si>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</si>
  <si>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</si>
  <si>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2 02 01000 00 0000 151</t>
  </si>
  <si>
    <t xml:space="preserve">Дотации бюджетам субъектов Российской Федерации и муниципальных образований  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</si>
  <si>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</si>
  <si>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</si>
  <si>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</si>
  <si>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Дотация на поддержку мер по обеспечению сбалансированности местных бюджетов</t>
  </si>
  <si>
    <t>2 02 02000 05 0000 151</t>
  </si>
  <si>
    <t>Субсидии бюджетам субъектов Российской Федерации и муниципальных образований (межбюджетные субсидии)</t>
  </si>
  <si>
    <t>2 02 02999 05 6151 151</t>
  </si>
  <si>
    <t>Субсидии бюджетам муниципальных образований (межбюджетные субсидии)на финансирование работ по капитальному ремонту жилищного фонда на  2010 год.</t>
  </si>
  <si>
    <t>2 02 02999 05 6154 151</t>
  </si>
  <si>
    <t>Субсидии на финансирование работ по капитальному ремонту учреждений бюджетной сферы</t>
  </si>
  <si>
    <t>2 02 02999 05 6165 151</t>
  </si>
  <si>
    <t>Субсидии на проведение мероприятий по обеспечению пожарной и антитеррористической безопасности в муниципальных учреждениях РС (Якутия)</t>
  </si>
  <si>
    <t>2 02 02999 05 6200 151</t>
  </si>
  <si>
    <t>Субсидия на организацию отдыха и оздоровления детей в каникулярное время</t>
  </si>
  <si>
    <t>2 02 02999 05 6202 151</t>
  </si>
  <si>
    <t>Субсидия на организацию перевозки детей к местам работы родителей и обратно занятых в оленеводстве</t>
  </si>
  <si>
    <t>2 02 02999 05 6300 151</t>
  </si>
  <si>
    <t>Субсидия на территориальное планирование  МР и генеральных планов населенных пунктов</t>
  </si>
  <si>
    <t>2 02 02999 05 6501 151</t>
  </si>
  <si>
    <t>Субсидии на поддержку малого и  среднего предпринимательства</t>
  </si>
  <si>
    <t>2 02 02999 05 6801 151</t>
  </si>
  <si>
    <t>Субсидия на проведение мероприятий по патриотическому воспитанию молодежи</t>
  </si>
  <si>
    <t>2 02 02008 05 0000 151</t>
  </si>
  <si>
    <t>Субсидия на реализацию подпрограммы "Обеспечение жильем молодых семей" РЦП "Жилище" на 2010-2012 гг.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</si>
  <si>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</si>
  <si>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</si>
  <si>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</si>
  <si>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Субвенция на осуществление государственных полномочий Российской Федерации по подготовке и проведению всероссийской перепеси населения, переданными для осуществления органами исполнительной власти РС (Я)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</si>
  <si>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</si>
  <si>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</si>
  <si>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</si>
  <si>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</si>
  <si>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</si>
  <si>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Субвенция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</si>
  <si>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</si>
  <si>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</si>
  <si>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2 02 03022 05 0000 151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</si>
  <si>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</si>
  <si>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2 02 03024 05 6239 151</t>
  </si>
  <si>
    <t>Субвенция на выполнение государственных полномочий по  финансированиюспециальных (коррекционных) и оздоровительных образовательных учреждений санаторного типа</t>
  </si>
  <si>
    <t>2 02 03024 05 6249 151</t>
  </si>
  <si>
    <t>Субвенция на выполнение государственных полномочий в области оказания противотуберкулезной помощи населению</t>
  </si>
  <si>
    <t>2 02 03024 05 6236 151</t>
  </si>
  <si>
    <t>Субвенция на выполнение государственных полномочий по осуществлению деятельности по опеке и попечительству</t>
  </si>
  <si>
    <t>2 02 03024 05 6237 151</t>
  </si>
  <si>
    <t>Субвенция, предоставляемые органам местного самоуправления муниципальных районов для исполнения госполномочий по выравниванию бюджетов поселений</t>
  </si>
  <si>
    <t>2 02 03024 05 6229 151</t>
  </si>
  <si>
    <t xml:space="preserve">Субвенция на выполнение отдельных государственных полномочий по комплектованию, хранению, учету и использованию документов Архивного фонда РС(Я) </t>
  </si>
  <si>
    <t>2 02 03024 05 6231 151</t>
  </si>
  <si>
    <t xml:space="preserve">Субвенция на выполнение отдельных государственных полномочий по лицензированию розничной продажи алкогольной продукции </t>
  </si>
  <si>
    <t>2 02 03024 05 6228 151</t>
  </si>
  <si>
    <t xml:space="preserve">Субвенция на выполнение отдельных государственных полномочий по государственному регулированию цен (тарифов)  </t>
  </si>
  <si>
    <t>2 02 03024 05 6235 151</t>
  </si>
  <si>
    <t>Субвенция на санаторно-курортное лечение детей сирот и детей, оставшихся без попечения родителей</t>
  </si>
  <si>
    <t>2 02 03024 05 6210 151</t>
  </si>
  <si>
    <t>Субвенция на обеспечение государственного образовательного стандарта</t>
  </si>
  <si>
    <t>2 02 03024 05 6226 151</t>
  </si>
  <si>
    <t>Субвенция на финансирование образовательных учреждений для детей-сирот и детей, оставшихся без попечения родителей</t>
  </si>
  <si>
    <t>2 02 03024 05 6227 151</t>
  </si>
  <si>
    <t xml:space="preserve">Субвенция на обеспечение проезда детей-сирот и детей, оставшихся без попечения родителей, обучающихся в муниципальных образовательных учреждениях </t>
  </si>
  <si>
    <t>2 02 03024 05 6221 151</t>
  </si>
  <si>
    <t>Субвенция на бесплатное обеспечение лекарственными средствами и изделиями медицинского назначения отдельных категорий населения</t>
  </si>
  <si>
    <t>2 02 03024 05 6222 151</t>
  </si>
  <si>
    <t>Субвенция на обеспечение бесплатным питанием детей в возрасте до трех лет</t>
  </si>
  <si>
    <t>2 02 03024 05 6234 151</t>
  </si>
  <si>
    <t>Субвенция  по реализации ФЗ от 25.10.02г. №125-ФЗ "О жилищных субсидиях гражданам, выезжающим из районов Крайнего севера и приравненных к ним местностей"</t>
  </si>
  <si>
    <t>2 02 03024 05 6232 151</t>
  </si>
  <si>
    <t xml:space="preserve">Субвенция на выполнение отдельных государственных полномочий в области охраны труда </t>
  </si>
  <si>
    <t>2 02 03024 05 6233 151</t>
  </si>
  <si>
    <t>Субвенция на исполнение функций комиссий по делам несовершеннолетних</t>
  </si>
  <si>
    <t>2 02 03024 05 6224 151</t>
  </si>
  <si>
    <t>Субвенция на оплату проезда граждан РС (Я) к месту лечения  в республиканские специалиализированные медицинские учреждения и обратно</t>
  </si>
  <si>
    <t>2 02 03024 05 6250 151</t>
  </si>
  <si>
    <t>Субвенция на осуществление государственных полномочий по организации деятельности административных комиссий по рассмотрению дел об административных правонарушениях</t>
  </si>
  <si>
    <t>2 02 03026 05 0000 151</t>
  </si>
  <si>
    <t>Субвенция на обеспечение жилыми помещениями детей-сирот и детей, оставшихся без попечения родителей, и лиц из их числа</t>
  </si>
  <si>
    <t>2 02 03027 05 6311 151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</si>
  <si>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</si>
  <si>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</si>
  <si>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</si>
  <si>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</si>
  <si>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</si>
  <si>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3 02 03055 05 0000 151</t>
  </si>
  <si>
    <t>4 02 03055 05 0000 151</t>
  </si>
  <si>
    <t>5 02 03055 05 0000 151</t>
  </si>
  <si>
    <t>6 02 03055 05 0000 151</t>
  </si>
  <si>
    <t>7 02 03055 05 0000 151</t>
  </si>
  <si>
    <t>8 02 03055 05 0000 151</t>
  </si>
  <si>
    <t>2 02 03055 05 6800 151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</si>
  <si>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 (за счет средств Республиканского бюджета)</t>
  </si>
  <si>
    <t>2 02 04000 00 0000 151</t>
  </si>
  <si>
    <t>Иные межбюджетные трансферты</t>
  </si>
  <si>
    <t>2 02 04012 05 6500 151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</si>
  <si>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</si>
  <si>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</si>
  <si>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</si>
  <si>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2 02 04029 05 0000 151</t>
  </si>
  <si>
    <t>Субсидии на реализацию дополнительных мероприятий, направленных на снижение напряженности на рынке труда</t>
  </si>
  <si>
    <t>ВСЕГО ДОХОДОВ</t>
  </si>
  <si>
    <t xml:space="preserve">                                 Председатель Алданского</t>
  </si>
  <si>
    <t xml:space="preserve">                                 районного Совета                                                                                                                                                                С.П. Жаворонков</t>
  </si>
  <si>
    <t>Приложение № 2</t>
  </si>
  <si>
    <t xml:space="preserve">к решению Алданского районного Совета </t>
  </si>
  <si>
    <t>Приложение № 6</t>
  </si>
  <si>
    <t xml:space="preserve"> Распределение бюджетных ассигнований</t>
  </si>
  <si>
    <t xml:space="preserve">муниципального образования "Алданский район"на 2011 год </t>
  </si>
  <si>
    <t>по разделам, подразделам, целевым статьям и видам   функциональной  и ведомственной структуре расходов бюджетов Российской Федерации</t>
  </si>
  <si>
    <t>Наименование</t>
  </si>
  <si>
    <t>Ведомство</t>
  </si>
  <si>
    <t>Рз</t>
  </si>
  <si>
    <t>ПР</t>
  </si>
  <si>
    <t>ЦСР</t>
  </si>
  <si>
    <t>ВР</t>
  </si>
  <si>
    <t>Прект решения за счет дополнительных доходов</t>
  </si>
  <si>
    <t xml:space="preserve"> за счет перемещения бюджетных ассигнований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</si>
  <si>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</si>
  <si>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</si>
  <si>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</si>
  <si>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</si>
  <si>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</si>
  <si>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</si>
  <si>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</si>
  <si>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010</t>
  </si>
  <si>
    <t>02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</si>
  <si>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</si>
  <si>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</si>
  <si>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</si>
  <si>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</si>
  <si>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</si>
  <si>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</si>
  <si>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</si>
  <si>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</si>
  <si>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002 04 00</t>
  </si>
  <si>
    <t>Расходы на содержание органов государственной власти и органов местного самоуправления</t>
  </si>
  <si>
    <t>002 04 90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</si>
  <si>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</si>
  <si>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</si>
  <si>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</si>
  <si>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</si>
  <si>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</si>
  <si>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</si>
  <si>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11</t>
  </si>
  <si>
    <t>Резервные фонды местных администраций</t>
  </si>
  <si>
    <t>070 05 00</t>
  </si>
  <si>
    <t>Прочие расходы</t>
  </si>
  <si>
    <t>013</t>
  </si>
  <si>
    <t>"Прикладные научные исследования в области общегосударственных вопросов"</t>
  </si>
  <si>
    <t>12</t>
  </si>
  <si>
    <t>Выполнение научно-исследовательских и опытно-конструкторских работ по государственным контрактам</t>
  </si>
  <si>
    <t>0816900</t>
  </si>
  <si>
    <t>Другие общегосударственные вопросы</t>
  </si>
  <si>
    <t>13</t>
  </si>
  <si>
    <t>0020490</t>
  </si>
  <si>
    <t>Управление находящимися в государственной и муниципальной собственности акциями открытых акционерных обществ</t>
  </si>
  <si>
    <t>0024100</t>
  </si>
  <si>
    <t>Осуществление полномочий по подготовке проведения статистических переписей</t>
  </si>
  <si>
    <t>0014300</t>
  </si>
  <si>
    <t>Обеспечение деятельности подведомственных учреждений</t>
  </si>
  <si>
    <t>0939909</t>
  </si>
  <si>
    <t>Выполнение функций бюджетными учреждениями</t>
  </si>
  <si>
    <t>001</t>
  </si>
  <si>
    <t>Мероприятия по энергосбережению и повышению энергетической эффективности</t>
  </si>
  <si>
    <t>0920323</t>
  </si>
  <si>
    <t>Расходы на выполнение отдельных государственных полномочий по комплектованию, хранению, учету и использованию документов Архивного фонда РС(Я)</t>
  </si>
  <si>
    <t>521 02 29</t>
  </si>
  <si>
    <t>Расходы на выполнение отдельных государственных полномочий по реализации Федерального закона от 25.10.02г. № 125-ФЗ "О жилищных субсидиях гражданам, выезжающим из районов Крайнего Севера и приравненных к ним местностей"</t>
  </si>
  <si>
    <t>521 02 34</t>
  </si>
  <si>
    <t>Расходы на исполнение функций административных комиссий</t>
  </si>
  <si>
    <t>521 02 50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</si>
  <si>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</si>
  <si>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</si>
  <si>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</si>
  <si>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</si>
  <si>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</si>
  <si>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</si>
  <si>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</si>
  <si>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</si>
  <si>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Целевые программы муниципальных образований</t>
  </si>
  <si>
    <t>7950000</t>
  </si>
  <si>
    <t>Органы юстиции</t>
  </si>
  <si>
    <t xml:space="preserve">Субвенция на осуществление полномочий по государственной регистрация актов гражданского состояния </t>
  </si>
  <si>
    <t>001 38 00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</si>
  <si>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</si>
  <si>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</si>
  <si>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</si>
  <si>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</si>
  <si>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Общеэкономические вопросы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</si>
  <si>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</si>
  <si>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</si>
  <si>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Фонд софинансирования</t>
  </si>
  <si>
    <t>Расходы на выполнение отдельных государственных полномочий по государственному регулированию цен (тарифов)</t>
  </si>
  <si>
    <t>521 02 28</t>
  </si>
  <si>
    <t>Расходы на выполнение отдельных государственных полномочий по лицензированию розничной продажи алкогольной продукции</t>
  </si>
  <si>
    <t>521 02 31</t>
  </si>
  <si>
    <t>Топливно – энергетический комплекс</t>
  </si>
  <si>
    <t>Мероприятия в топливно-энергетической области</t>
  </si>
  <si>
    <t>2480100</t>
  </si>
  <si>
    <t>Субсидии юридическим лицам</t>
  </si>
  <si>
    <t>006</t>
  </si>
  <si>
    <t>Сельское хозяйство и рыболовство</t>
  </si>
  <si>
    <t>05</t>
  </si>
  <si>
    <t>Мероприятия в области сельскохозяйственного производства</t>
  </si>
  <si>
    <t>342</t>
  </si>
  <si>
    <t xml:space="preserve">Транспорт                                                            </t>
  </si>
  <si>
    <t>08</t>
  </si>
  <si>
    <t>Отдельные мероприятия в области автомобильного транспорта</t>
  </si>
  <si>
    <t>303 02 00</t>
  </si>
  <si>
    <t>Дорожное хозяйство</t>
  </si>
  <si>
    <t>Содержание автомобильных  дорог общего пользования</t>
  </si>
  <si>
    <t>315 01 02</t>
  </si>
  <si>
    <t>Другие вопросы в области национальной экономики</t>
  </si>
  <si>
    <t>Оценка недвижимости, признание прав  и регулирование отношений по государственной  и муниципальной собственности</t>
  </si>
  <si>
    <t>0900200</t>
  </si>
  <si>
    <t>0929900</t>
  </si>
  <si>
    <t>Мероприятия по землеустройству и землепользованию</t>
  </si>
  <si>
    <t>340 03 00</t>
  </si>
  <si>
    <t>Подпрограмма "Развитие предпринимательства в Республике Саха (Якутия) на 2009-2011 годы"</t>
  </si>
  <si>
    <t>5220501</t>
  </si>
  <si>
    <t>Республиканская целевая программа «Государственная поддержка местного самоуправления на 2009-2011 годы»</t>
  </si>
  <si>
    <t>5221300</t>
  </si>
  <si>
    <t>Жилищно-коммунальное хозяйство</t>
  </si>
  <si>
    <t>Жилищное хозяйство</t>
  </si>
  <si>
    <t>Финансирование работ по капитальному ремонту жилищного фонда</t>
  </si>
  <si>
    <t>10</t>
  </si>
  <si>
    <t>5210151</t>
  </si>
  <si>
    <t>Другие вопросы в области жилищно-коммунального хозяйства</t>
  </si>
  <si>
    <t>Обеспечение деятельности служб по начислению гражданам субсидий на оплату жилого помещения и коммунальных услуг</t>
  </si>
  <si>
    <t>5210301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</si>
  <si>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</si>
  <si>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</si>
  <si>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</si>
  <si>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</si>
  <si>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</si>
  <si>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</si>
  <si>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</si>
  <si>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</si>
  <si>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</si>
  <si>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</si>
  <si>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</si>
  <si>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Детские дошкольные учреждения</t>
  </si>
  <si>
    <t>420 00 00</t>
  </si>
  <si>
    <t>420 99 00</t>
  </si>
  <si>
    <t>Субсидии на предоставление льгот по коммунальным услугам педагогическим работникам образовательных учреждений</t>
  </si>
  <si>
    <t>5210161</t>
  </si>
  <si>
    <t>Общее образование</t>
  </si>
  <si>
    <t>Общее образование дотация</t>
  </si>
  <si>
    <t>400 00 00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</si>
  <si>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</si>
  <si>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</si>
  <si>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</si>
  <si>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</si>
  <si>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</si>
  <si>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</si>
  <si>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 xml:space="preserve">Межбюджетные трансферты
</t>
  </si>
  <si>
    <t>5210000</t>
  </si>
  <si>
    <t>Ежемесячное денежное вознаграждение за классное руководство</t>
  </si>
  <si>
    <t>5200900</t>
  </si>
  <si>
    <t>Финансирование работ по капитальному ремонту учреждений бюджетной сферы</t>
  </si>
  <si>
    <t>5210154</t>
  </si>
  <si>
    <t>Субвенции на обеспечение деятельности специальных (коррекционных) образовательных учреждений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</si>
  <si>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>5210239</t>
  </si>
  <si>
    <t>Расходы на реализацию государственного стандарта общего образования</t>
  </si>
  <si>
    <t>521 02 10</t>
  </si>
  <si>
    <t>Расходы на реализацию государственного стандарта общего образования школ - детских садов, школ начальных, неполных средних и средних</t>
  </si>
  <si>
    <t>521 02 11</t>
  </si>
  <si>
    <t xml:space="preserve">Расходы на финансирование образовательных учреждений для детей-сирот и детей, оставшихся без попечения родителей </t>
  </si>
  <si>
    <t>521 02 26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</si>
  <si>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</si>
  <si>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</si>
  <si>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</si>
  <si>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</si>
  <si>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4320200</t>
  </si>
  <si>
    <t>Проведение оздоровительных и других мероприятий для детей и молодежи</t>
  </si>
  <si>
    <t>447</t>
  </si>
  <si>
    <t>Оздоровление детей (за исключением детей, находящихся в трудной жизненной ситуации)</t>
  </si>
  <si>
    <t>4320300</t>
  </si>
  <si>
    <t xml:space="preserve">Оздоровление детей </t>
  </si>
  <si>
    <t>432 99 00</t>
  </si>
  <si>
    <t>Подпрограмма "Организация летнего отдыха и оздоровления детей"</t>
  </si>
  <si>
    <t>5221702</t>
  </si>
  <si>
    <t>Республиканская целевая программа "Патриотическое воспитание граждан в Республике Саха (Якутия) на 2009-2011 годы"</t>
  </si>
  <si>
    <t>5221800</t>
  </si>
  <si>
    <t>Целевая муниципальная программа "Гражданско-патриотическое воспитание молодежи"</t>
  </si>
  <si>
    <t>795 00 00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</si>
  <si>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</si>
  <si>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</si>
  <si>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435 00 00</t>
  </si>
  <si>
    <t>435 99 00</t>
  </si>
  <si>
    <t>Проведение мероприятий для детей и молодежи</t>
  </si>
  <si>
    <t>4360900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</si>
  <si>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</si>
  <si>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</si>
  <si>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</si>
  <si>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</si>
  <si>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</si>
  <si>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440 00 00</t>
  </si>
  <si>
    <t>440 99 00</t>
  </si>
  <si>
    <t>Библиотеки</t>
  </si>
  <si>
    <t>442 00 00</t>
  </si>
  <si>
    <t>442 99 00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</si>
  <si>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</si>
  <si>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</si>
  <si>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</si>
  <si>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</si>
  <si>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</si>
  <si>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</si>
  <si>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Расходы на выполнение отдельных государственных полномочий в области оказания противотуберкулезной помощи населению</t>
  </si>
  <si>
    <t>5210249</t>
  </si>
  <si>
    <t>Ведомственная целевая программа "Безопасность учреждений здравоохранения Республики Саха (Якутия) на 2010-2012 годы"</t>
  </si>
  <si>
    <t>6220300</t>
  </si>
  <si>
    <t>Амбулаторная помощь</t>
  </si>
  <si>
    <t>Поликлиники, амбулатории, диагностические центры</t>
  </si>
  <si>
    <t>4719900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</si>
  <si>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</si>
  <si>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</si>
  <si>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</si>
  <si>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</si>
  <si>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</si>
  <si>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</si>
  <si>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</si>
  <si>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</si>
  <si>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</si>
  <si>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</si>
  <si>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</si>
  <si>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491 01 02</t>
  </si>
  <si>
    <t>Социальные выплаты</t>
  </si>
  <si>
    <t>005</t>
  </si>
  <si>
    <t>Социальное обеспечение населения</t>
  </si>
  <si>
    <t>Подпрограмма "Обеспечение жильем молодых семей"</t>
  </si>
  <si>
    <t>Предоставление гражданам субсидий на оплату жилого помещения  и коммунальных услуг</t>
  </si>
  <si>
    <t>Обеспечение жилыми помещениями детей-сирот и детей, оставшихся без попечения родителей, и лиц из их числа</t>
  </si>
  <si>
    <t xml:space="preserve">Иные виды социальной помощи </t>
  </si>
  <si>
    <t xml:space="preserve">Бесплатное обеспечение лекарственными средствами и изделиями медицинского назначения отдельных категорий населения </t>
  </si>
  <si>
    <t>521 02 21</t>
  </si>
  <si>
    <t xml:space="preserve">Бесплатное питание детей в возрасте до 3 лет </t>
  </si>
  <si>
    <t>521 02 22</t>
  </si>
  <si>
    <t>Оплата проезда граждан Республики Саха (Якутия) к месту лечения в республиканские специализированные медицинские учреждения и обратно</t>
  </si>
  <si>
    <t>521 02 24</t>
  </si>
  <si>
    <t>Охрана семьи и детства</t>
  </si>
  <si>
    <t>Социальная помощь</t>
  </si>
  <si>
    <t>505 00 00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</si>
  <si>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</si>
  <si>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</si>
  <si>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Иные безвозмездные и безвозвратные перечисления</t>
  </si>
  <si>
    <t>520 00 00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</si>
  <si>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</si>
  <si>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</si>
  <si>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семьям опекунов на содержание подопечных детей</t>
  </si>
  <si>
    <t>520 13 20</t>
  </si>
  <si>
    <t>521 00 00</t>
  </si>
  <si>
    <t>Расходы на обеспечение проезда детей-сирот и детей, оставшихся без попечения родителей, обучающихся в муниципальных образовательных учреждениях</t>
  </si>
  <si>
    <t>521 02 27</t>
  </si>
  <si>
    <t>Расходы на санаторно-курортное лечение детей-сирот и детей, оставшихся без попечения родителей</t>
  </si>
  <si>
    <t>521 02 35</t>
  </si>
  <si>
    <t>Расходы на содержание органов по опеке и попечительству</t>
  </si>
  <si>
    <t>Другие вопросы в области социальной политики</t>
  </si>
  <si>
    <t>Расходы на выполнение отдельных государственных полномочий в области охраны труда</t>
  </si>
  <si>
    <t>521 02 32</t>
  </si>
  <si>
    <t>Расходы на выполнение отдельных государственных полномочий по исполнению функций комиссий по делам несовершеннолетних</t>
  </si>
  <si>
    <t>521 02 33</t>
  </si>
  <si>
    <t>Физическая культура и спорт</t>
  </si>
  <si>
    <t>00</t>
  </si>
  <si>
    <t xml:space="preserve">Мероприятия в области здравоохранения, спорта и физической культуры, туризма </t>
  </si>
  <si>
    <t>512 97 00</t>
  </si>
  <si>
    <t>Межбюджетные трансферты</t>
  </si>
  <si>
    <t>14</t>
  </si>
  <si>
    <t>Дотации бюджетам субъектов Российской Федерации 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</si>
  <si>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</si>
  <si>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</si>
  <si>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</si>
  <si>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</si>
  <si>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5170200</t>
  </si>
  <si>
    <t xml:space="preserve">Прочие дотации </t>
  </si>
  <si>
    <t>007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</si>
  <si>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</si>
  <si>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</si>
  <si>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</si>
  <si>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017</t>
  </si>
  <si>
    <t xml:space="preserve">Председатель Алданского </t>
  </si>
  <si>
    <t xml:space="preserve">                           районного Совета</t>
  </si>
  <si>
    <t>С.П.Жаворонков</t>
  </si>
  <si>
    <t xml:space="preserve">Приложение 3   </t>
  </si>
  <si>
    <t>к решению Алданского районного Совета РС (Я)</t>
  </si>
  <si>
    <t>"О внесении изменений в решение Алданского районного Совета РС (Я)</t>
  </si>
  <si>
    <t xml:space="preserve">"О бюджете муниципального образования </t>
  </si>
  <si>
    <t>"Алданский район" на 2010 год"</t>
  </si>
  <si>
    <t>Приложение 5</t>
  </si>
  <si>
    <t xml:space="preserve">Источники внутреннего финансирования дефицита бюджета муниципального </t>
  </si>
  <si>
    <t>(тыс.руб)</t>
  </si>
  <si>
    <t>Код классификации источников финансирования дефицитов бюджетов</t>
  </si>
  <si>
    <t>Источники внутреннего финансирования дефицита бюджета</t>
  </si>
  <si>
    <t>01 05 02 00 00 0000 500</t>
  </si>
  <si>
    <t xml:space="preserve">Увеличение прочих остатков средств бюджета </t>
  </si>
  <si>
    <t>01 05 02 00 00 0000 600</t>
  </si>
  <si>
    <t>Уменьшение прочих остатков средств бюджета</t>
  </si>
  <si>
    <t>итого</t>
  </si>
  <si>
    <t>районного Совета:</t>
  </si>
  <si>
    <t>Жаворонков С.П.</t>
  </si>
  <si>
    <t>2 02 04025 05 0000 151</t>
  </si>
  <si>
    <t>Межбюджетные трансферты на комплектование книжных фондов библиотек  муниципальных образований</t>
  </si>
  <si>
    <t>2 02 02999 05 6160 151</t>
  </si>
  <si>
    <t>Субсидии на проведение мероприятий по обеспечению пожарной и антитеррористической безопасности на обьектах учреждений культуры РС (Я)</t>
  </si>
  <si>
    <t>2 02 02077 05 0000 151</t>
  </si>
  <si>
    <t>Суьсидии бюджетам на бюджетные инвестиции в обьекты капитального  строительства собственности муниципальных образований</t>
  </si>
  <si>
    <t>2 02 02999 05 6157 151</t>
  </si>
  <si>
    <t>Субсидии на проведение мероприятий по обеспечению противопожарной, антитеррористической безопасности и обеспечению медицинскими кабинетами муниципальных образовательных учреждений РС (Я)</t>
  </si>
  <si>
    <t>2 02 09024 05 0000 151</t>
  </si>
  <si>
    <t>Межбюджетные трансферты на проведение противопожарных мероприятий от лесных пожаров</t>
  </si>
  <si>
    <t>0 02 04034 05 0001 151</t>
  </si>
  <si>
    <t>Межбюджетные трансферты на реализацию Программы модернизации здравоохранения РС (Я) на 2011-2012 годы</t>
  </si>
  <si>
    <t>6220400</t>
  </si>
  <si>
    <t>Ведомственная целевая программа "Безопасность образовательных учреждений Республики Саха (Якутия) на 2010-2012 годы"</t>
  </si>
  <si>
    <t>0923200</t>
  </si>
  <si>
    <t>0700402</t>
  </si>
  <si>
    <t>Резервный фонд Правительства РС(Я) на предупреждение и ликвидацию чрезвычайных ситуаций и последствий стихийных бедствий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</si>
  <si>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</si>
  <si>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</si>
  <si>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6220200</t>
  </si>
  <si>
    <t>Ведомственная целевая программа «Обеспечение пожарной безопасности на объектах культуры и искусства Республики Саха (Якутия) на 2007-2010 годы"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</si>
  <si>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</si>
  <si>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</si>
  <si>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1 17 05050 05 0000 180</t>
  </si>
  <si>
    <t>Прочие неналоговые доходы</t>
  </si>
  <si>
    <t>2 02 02999 05 0000 151</t>
  </si>
  <si>
    <t>Субсидия на реализацию муниципальных программ повышения эффективности бюджетных расходов</t>
  </si>
  <si>
    <t>6221200</t>
  </si>
  <si>
    <t>Программа Правительства Республики Саха (Якутия) по повышению эффективности бюджетных расходов на 2011-2012 годы</t>
  </si>
  <si>
    <t>116 90050 05 0000 140</t>
  </si>
  <si>
    <t>Прочие поступления от денежных взысканий (штрафов) и иных сумм в возмещение уферба, зачисляемые в бюджеты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</si>
  <si>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</si>
  <si>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</si>
  <si>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>0960100</t>
  </si>
  <si>
    <t>Реализация программ модернизации здравоохранения  субъектов Российской Федерации в части укрепления материально-технической базы медицинских учреждений</t>
  </si>
  <si>
    <t>образования"Алданский район" на 2011 год</t>
  </si>
  <si>
    <t>от 24.08.2011 № 26-5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</si>
</sst>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#,##0.00000"/>
    <numFmt numFmtId="169" formatCode="#,##0.0000"/>
    <numFmt numFmtId="170" formatCode="0.0000"/>
    <numFmt numFmtId="171" formatCode="0.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24" borderId="10" xfId="52" applyFont="1" applyFill="1" applyBorder="1" applyAlignment="1">
      <alignment horizontal="center"/>
      <protection/>
    </xf>
    <xf numFmtId="0" fontId="4" fillId="0" borderId="10" xfId="52" applyFont="1" applyBorder="1">
      <alignment/>
      <protection/>
    </xf>
    <xf numFmtId="4" fontId="4" fillId="0" borderId="10" xfId="52" applyNumberFormat="1" applyFont="1" applyBorder="1">
      <alignment/>
      <protection/>
    </xf>
    <xf numFmtId="164" fontId="4" fillId="0" borderId="10" xfId="52" applyNumberFormat="1" applyFont="1" applyBorder="1">
      <alignment/>
      <protection/>
    </xf>
    <xf numFmtId="164" fontId="4" fillId="24" borderId="10" xfId="52" applyNumberFormat="1" applyFont="1" applyFill="1" applyBorder="1">
      <alignment/>
      <protection/>
    </xf>
    <xf numFmtId="0" fontId="6" fillId="0" borderId="0" xfId="52" applyFont="1">
      <alignment/>
      <protection/>
    </xf>
    <xf numFmtId="0" fontId="3" fillId="0" borderId="10" xfId="52" applyFont="1" applyBorder="1">
      <alignment/>
      <protection/>
    </xf>
    <xf numFmtId="4" fontId="3" fillId="0" borderId="10" xfId="52" applyNumberFormat="1" applyFont="1" applyBorder="1">
      <alignment/>
      <protection/>
    </xf>
    <xf numFmtId="165" fontId="3" fillId="0" borderId="10" xfId="52" applyNumberFormat="1" applyFont="1" applyBorder="1">
      <alignment/>
      <protection/>
    </xf>
    <xf numFmtId="164" fontId="3" fillId="0" borderId="10" xfId="52" applyNumberFormat="1" applyFont="1" applyBorder="1">
      <alignment/>
      <protection/>
    </xf>
    <xf numFmtId="4" fontId="4" fillId="24" borderId="10" xfId="52" applyNumberFormat="1" applyFont="1" applyFill="1" applyBorder="1">
      <alignment/>
      <protection/>
    </xf>
    <xf numFmtId="4" fontId="3" fillId="24" borderId="10" xfId="52" applyNumberFormat="1" applyFont="1" applyFill="1" applyBorder="1">
      <alignment/>
      <protection/>
    </xf>
    <xf numFmtId="166" fontId="3" fillId="0" borderId="10" xfId="52" applyNumberFormat="1" applyFont="1" applyBorder="1">
      <alignment/>
      <protection/>
    </xf>
    <xf numFmtId="0" fontId="3" fillId="24" borderId="10" xfId="52" applyFont="1" applyFill="1" applyBorder="1">
      <alignment/>
      <protection/>
    </xf>
    <xf numFmtId="0" fontId="3" fillId="0" borderId="10" xfId="52" applyFont="1" applyBorder="1" applyAlignment="1">
      <alignment wrapText="1"/>
      <protection/>
    </xf>
    <xf numFmtId="0" fontId="4" fillId="24" borderId="10" xfId="52" applyFont="1" applyFill="1" applyBorder="1">
      <alignment/>
      <protection/>
    </xf>
    <xf numFmtId="167" fontId="3" fillId="24" borderId="10" xfId="52" applyNumberFormat="1" applyFont="1" applyFill="1" applyBorder="1">
      <alignment/>
      <protection/>
    </xf>
    <xf numFmtId="0" fontId="6" fillId="0" borderId="0" xfId="52" applyFont="1" applyBorder="1">
      <alignment/>
      <protection/>
    </xf>
    <xf numFmtId="164" fontId="3" fillId="24" borderId="10" xfId="52" applyNumberFormat="1" applyFont="1" applyFill="1" applyBorder="1">
      <alignment/>
      <protection/>
    </xf>
    <xf numFmtId="0" fontId="3" fillId="0" borderId="0" xfId="0" applyFont="1" applyAlignment="1">
      <alignment horizontal="justify"/>
    </xf>
    <xf numFmtId="0" fontId="4" fillId="0" borderId="10" xfId="52" applyFont="1" applyBorder="1" applyAlignment="1">
      <alignment vertical="top"/>
      <protection/>
    </xf>
    <xf numFmtId="0" fontId="7" fillId="0" borderId="10" xfId="53" applyFont="1" applyFill="1" applyBorder="1" applyAlignment="1">
      <alignment wrapText="1"/>
      <protection/>
    </xf>
    <xf numFmtId="164" fontId="4" fillId="0" borderId="10" xfId="53" applyNumberFormat="1" applyFont="1" applyFill="1" applyBorder="1" applyAlignment="1">
      <alignment horizontal="right"/>
      <protection/>
    </xf>
    <xf numFmtId="164" fontId="4" fillId="24" borderId="10" xfId="53" applyNumberFormat="1" applyFont="1" applyFill="1" applyBorder="1" applyAlignment="1">
      <alignment horizontal="right"/>
      <protection/>
    </xf>
    <xf numFmtId="0" fontId="3" fillId="0" borderId="10" xfId="52" applyFont="1" applyBorder="1" applyAlignment="1">
      <alignment/>
      <protection/>
    </xf>
    <xf numFmtId="0" fontId="8" fillId="0" borderId="10" xfId="53" applyFont="1" applyFill="1" applyBorder="1" applyAlignment="1">
      <alignment horizontal="left" wrapText="1"/>
      <protection/>
    </xf>
    <xf numFmtId="3" fontId="3" fillId="0" borderId="10" xfId="52" applyNumberFormat="1" applyFont="1" applyBorder="1">
      <alignment/>
      <protection/>
    </xf>
    <xf numFmtId="164" fontId="8" fillId="0" borderId="10" xfId="53" applyNumberFormat="1" applyFont="1" applyFill="1" applyBorder="1" applyAlignment="1">
      <alignment horizontal="right"/>
      <protection/>
    </xf>
    <xf numFmtId="164" fontId="8" fillId="24" borderId="10" xfId="53" applyNumberFormat="1" applyFont="1" applyFill="1" applyBorder="1" applyAlignment="1">
      <alignment horizontal="right"/>
      <protection/>
    </xf>
    <xf numFmtId="0" fontId="3" fillId="25" borderId="10" xfId="53" applyFont="1" applyFill="1" applyBorder="1" applyAlignment="1">
      <alignment vertical="top" wrapText="1"/>
      <protection/>
    </xf>
    <xf numFmtId="1" fontId="3" fillId="0" borderId="10" xfId="52" applyNumberFormat="1" applyFont="1" applyBorder="1">
      <alignment/>
      <protection/>
    </xf>
    <xf numFmtId="0" fontId="4" fillId="0" borderId="10" xfId="52" applyFont="1" applyBorder="1" applyAlignment="1">
      <alignment/>
      <protection/>
    </xf>
    <xf numFmtId="167" fontId="7" fillId="0" borderId="10" xfId="53" applyNumberFormat="1" applyFont="1" applyFill="1" applyBorder="1" applyAlignment="1">
      <alignment horizontal="right"/>
      <protection/>
    </xf>
    <xf numFmtId="167" fontId="4" fillId="0" borderId="10" xfId="52" applyNumberFormat="1" applyFont="1" applyBorder="1">
      <alignment/>
      <protection/>
    </xf>
    <xf numFmtId="167" fontId="4" fillId="24" borderId="10" xfId="52" applyNumberFormat="1" applyFont="1" applyFill="1" applyBorder="1">
      <alignment/>
      <protection/>
    </xf>
    <xf numFmtId="167" fontId="8" fillId="0" borderId="10" xfId="53" applyNumberFormat="1" applyFont="1" applyFill="1" applyBorder="1" applyAlignment="1">
      <alignment horizontal="right"/>
      <protection/>
    </xf>
    <xf numFmtId="167" fontId="3" fillId="0" borderId="10" xfId="52" applyNumberFormat="1" applyFont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164" fontId="7" fillId="0" borderId="10" xfId="53" applyNumberFormat="1" applyFont="1" applyFill="1" applyBorder="1" applyAlignment="1">
      <alignment horizontal="right"/>
      <protection/>
    </xf>
    <xf numFmtId="164" fontId="7" fillId="24" borderId="10" xfId="53" applyNumberFormat="1" applyFont="1" applyFill="1" applyBorder="1" applyAlignment="1">
      <alignment horizontal="right"/>
      <protection/>
    </xf>
    <xf numFmtId="164" fontId="3" fillId="24" borderId="10" xfId="53" applyNumberFormat="1" applyFont="1" applyFill="1" applyBorder="1" applyAlignment="1">
      <alignment horizontal="right"/>
      <protection/>
    </xf>
    <xf numFmtId="0" fontId="3" fillId="0" borderId="10" xfId="52" applyFont="1" applyFill="1" applyBorder="1">
      <alignment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left" wrapText="1"/>
      <protection/>
    </xf>
    <xf numFmtId="0" fontId="8" fillId="0" borderId="10" xfId="53" applyFont="1" applyFill="1" applyBorder="1" applyAlignment="1">
      <alignment wrapText="1"/>
      <protection/>
    </xf>
    <xf numFmtId="2" fontId="3" fillId="0" borderId="10" xfId="52" applyNumberFormat="1" applyFont="1" applyBorder="1">
      <alignment/>
      <protection/>
    </xf>
    <xf numFmtId="2" fontId="3" fillId="24" borderId="10" xfId="52" applyNumberFormat="1" applyFont="1" applyFill="1" applyBorder="1">
      <alignment/>
      <protection/>
    </xf>
    <xf numFmtId="168" fontId="4" fillId="24" borderId="10" xfId="53" applyNumberFormat="1" applyFont="1" applyFill="1" applyBorder="1" applyAlignment="1">
      <alignment horizontal="right"/>
      <protection/>
    </xf>
    <xf numFmtId="0" fontId="3" fillId="0" borderId="0" xfId="52" applyFont="1" applyAlignment="1">
      <alignment/>
      <protection/>
    </xf>
    <xf numFmtId="0" fontId="3" fillId="0" borderId="0" xfId="0" applyFont="1" applyAlignment="1">
      <alignment/>
    </xf>
    <xf numFmtId="168" fontId="3" fillId="24" borderId="10" xfId="53" applyNumberFormat="1" applyFont="1" applyFill="1" applyBorder="1" applyAlignment="1">
      <alignment horizontal="right"/>
      <protection/>
    </xf>
    <xf numFmtId="168" fontId="3" fillId="24" borderId="10" xfId="0" applyNumberFormat="1" applyFont="1" applyFill="1" applyBorder="1" applyAlignment="1">
      <alignment/>
    </xf>
    <xf numFmtId="168" fontId="4" fillId="24" borderId="10" xfId="55" applyNumberFormat="1" applyFont="1" applyFill="1" applyBorder="1">
      <alignment/>
      <protection/>
    </xf>
    <xf numFmtId="168" fontId="4" fillId="24" borderId="10" xfId="53" applyNumberFormat="1" applyFont="1" applyFill="1" applyBorder="1">
      <alignment/>
      <protection/>
    </xf>
    <xf numFmtId="168" fontId="3" fillId="24" borderId="10" xfId="53" applyNumberFormat="1" applyFont="1" applyFill="1" applyBorder="1">
      <alignment/>
      <protection/>
    </xf>
    <xf numFmtId="168" fontId="4" fillId="24" borderId="10" xfId="0" applyNumberFormat="1" applyFont="1" applyFill="1" applyBorder="1" applyAlignment="1">
      <alignment/>
    </xf>
    <xf numFmtId="168" fontId="3" fillId="24" borderId="10" xfId="55" applyNumberFormat="1" applyFont="1" applyFill="1" applyBorder="1">
      <alignment/>
      <protection/>
    </xf>
    <xf numFmtId="0" fontId="2" fillId="0" borderId="10" xfId="55" applyFont="1" applyBorder="1" applyAlignment="1">
      <alignment wrapText="1"/>
      <protection/>
    </xf>
    <xf numFmtId="0" fontId="4" fillId="0" borderId="0" xfId="0" applyFont="1" applyAlignment="1">
      <alignment/>
    </xf>
    <xf numFmtId="0" fontId="2" fillId="0" borderId="0" xfId="55" applyFont="1">
      <alignment/>
      <protection/>
    </xf>
    <xf numFmtId="164" fontId="9" fillId="0" borderId="0" xfId="55" applyNumberFormat="1" applyFont="1">
      <alignment/>
      <protection/>
    </xf>
    <xf numFmtId="4" fontId="3" fillId="0" borderId="0" xfId="54" applyNumberFormat="1" applyFont="1" applyFill="1" applyAlignment="1">
      <alignment horizontal="right"/>
      <protection/>
    </xf>
    <xf numFmtId="164" fontId="4" fillId="0" borderId="0" xfId="53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52" applyFont="1">
      <alignment/>
      <protection/>
    </xf>
    <xf numFmtId="168" fontId="4" fillId="24" borderId="10" xfId="53" applyNumberFormat="1" applyFont="1" applyFill="1" applyBorder="1" applyAlignment="1">
      <alignment horizontal="right"/>
      <protection/>
    </xf>
    <xf numFmtId="168" fontId="3" fillId="24" borderId="10" xfId="53" applyNumberFormat="1" applyFont="1" applyFill="1" applyBorder="1" applyAlignment="1">
      <alignment horizontal="right"/>
      <protection/>
    </xf>
    <xf numFmtId="168" fontId="3" fillId="24" borderId="10" xfId="0" applyNumberFormat="1" applyFont="1" applyFill="1" applyBorder="1" applyAlignment="1">
      <alignment/>
    </xf>
    <xf numFmtId="168" fontId="4" fillId="24" borderId="10" xfId="55" applyNumberFormat="1" applyFont="1" applyFill="1" applyBorder="1">
      <alignment/>
      <protection/>
    </xf>
    <xf numFmtId="168" fontId="4" fillId="24" borderId="10" xfId="53" applyNumberFormat="1" applyFont="1" applyFill="1" applyBorder="1">
      <alignment/>
      <protection/>
    </xf>
    <xf numFmtId="168" fontId="3" fillId="24" borderId="10" xfId="53" applyNumberFormat="1" applyFont="1" applyFill="1" applyBorder="1">
      <alignment/>
      <protection/>
    </xf>
    <xf numFmtId="168" fontId="4" fillId="24" borderId="10" xfId="0" applyNumberFormat="1" applyFont="1" applyFill="1" applyBorder="1" applyAlignment="1">
      <alignment/>
    </xf>
    <xf numFmtId="168" fontId="3" fillId="24" borderId="10" xfId="55" applyNumberFormat="1" applyFont="1" applyFill="1" applyBorder="1">
      <alignment/>
      <protection/>
    </xf>
    <xf numFmtId="49" fontId="29" fillId="0" borderId="10" xfId="0" applyNumberFormat="1" applyFont="1" applyFill="1" applyBorder="1" applyAlignment="1">
      <alignment vertical="top" wrapText="1"/>
    </xf>
    <xf numFmtId="168" fontId="4" fillId="0" borderId="10" xfId="53" applyNumberFormat="1" applyFont="1" applyFill="1" applyBorder="1" applyAlignment="1">
      <alignment horizontal="right"/>
      <protection/>
    </xf>
    <xf numFmtId="168" fontId="4" fillId="0" borderId="10" xfId="53" applyNumberFormat="1" applyFont="1" applyFill="1" applyBorder="1" applyAlignment="1">
      <alignment horizontal="right"/>
      <protection/>
    </xf>
    <xf numFmtId="168" fontId="3" fillId="0" borderId="10" xfId="53" applyNumberFormat="1" applyFont="1" applyFill="1" applyBorder="1" applyAlignment="1">
      <alignment horizontal="right"/>
      <protection/>
    </xf>
    <xf numFmtId="168" fontId="3" fillId="0" borderId="10" xfId="53" applyNumberFormat="1" applyFont="1" applyFill="1" applyBorder="1" applyAlignment="1">
      <alignment horizontal="right"/>
      <protection/>
    </xf>
    <xf numFmtId="168" fontId="3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4" fillId="0" borderId="10" xfId="55" applyNumberFormat="1" applyFont="1" applyFill="1" applyBorder="1">
      <alignment/>
      <protection/>
    </xf>
    <xf numFmtId="168" fontId="4" fillId="0" borderId="10" xfId="55" applyNumberFormat="1" applyFont="1" applyFill="1" applyBorder="1">
      <alignment/>
      <protection/>
    </xf>
    <xf numFmtId="168" fontId="4" fillId="0" borderId="10" xfId="53" applyNumberFormat="1" applyFont="1" applyFill="1" applyBorder="1">
      <alignment/>
      <protection/>
    </xf>
    <xf numFmtId="168" fontId="4" fillId="0" borderId="10" xfId="53" applyNumberFormat="1" applyFont="1" applyFill="1" applyBorder="1">
      <alignment/>
      <protection/>
    </xf>
    <xf numFmtId="168" fontId="3" fillId="0" borderId="10" xfId="53" applyNumberFormat="1" applyFont="1" applyFill="1" applyBorder="1">
      <alignment/>
      <protection/>
    </xf>
    <xf numFmtId="168" fontId="3" fillId="0" borderId="10" xfId="53" applyNumberFormat="1" applyFont="1" applyFill="1" applyBorder="1">
      <alignment/>
      <protection/>
    </xf>
    <xf numFmtId="168" fontId="4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>
      <alignment/>
      <protection/>
    </xf>
    <xf numFmtId="168" fontId="3" fillId="0" borderId="10" xfId="55" applyNumberFormat="1" applyFont="1" applyFill="1" applyBorder="1">
      <alignment/>
      <protection/>
    </xf>
    <xf numFmtId="0" fontId="3" fillId="0" borderId="0" xfId="52" applyFont="1" applyAlignment="1">
      <alignment horizontal="right"/>
      <protection/>
    </xf>
    <xf numFmtId="0" fontId="3" fillId="24" borderId="0" xfId="52" applyFont="1" applyFill="1" applyAlignment="1">
      <alignment horizontal="right"/>
      <protection/>
    </xf>
    <xf numFmtId="0" fontId="2" fillId="0" borderId="0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2" fillId="24" borderId="0" xfId="52" applyFont="1" applyFill="1">
      <alignment/>
      <protection/>
    </xf>
    <xf numFmtId="0" fontId="2" fillId="24" borderId="10" xfId="52" applyFont="1" applyFill="1" applyBorder="1" applyAlignment="1">
      <alignment horizontal="center"/>
      <protection/>
    </xf>
    <xf numFmtId="164" fontId="2" fillId="0" borderId="0" xfId="52" applyNumberFormat="1" applyFont="1">
      <alignment/>
      <protection/>
    </xf>
    <xf numFmtId="164" fontId="2" fillId="24" borderId="0" xfId="52" applyNumberFormat="1" applyFont="1" applyFill="1">
      <alignment/>
      <protection/>
    </xf>
    <xf numFmtId="0" fontId="2" fillId="0" borderId="0" xfId="0" applyFont="1" applyAlignment="1">
      <alignment/>
    </xf>
    <xf numFmtId="168" fontId="7" fillId="24" borderId="10" xfId="53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168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168" fontId="2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8" fontId="6" fillId="0" borderId="21" xfId="0" applyNumberFormat="1" applyFont="1" applyBorder="1" applyAlignment="1">
      <alignment/>
    </xf>
    <xf numFmtId="0" fontId="2" fillId="0" borderId="0" xfId="54" applyFont="1" applyAlignment="1">
      <alignment horizontal="left" wrapText="1"/>
      <protection/>
    </xf>
    <xf numFmtId="0" fontId="2" fillId="0" borderId="0" xfId="54" applyFont="1">
      <alignment/>
      <protection/>
    </xf>
    <xf numFmtId="0" fontId="2" fillId="0" borderId="0" xfId="53" applyFont="1" applyFill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2" fillId="24" borderId="0" xfId="53" applyFont="1" applyFill="1" applyAlignment="1">
      <alignment horizontal="right"/>
      <protection/>
    </xf>
    <xf numFmtId="0" fontId="2" fillId="24" borderId="0" xfId="53" applyFont="1" applyFill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49" fontId="6" fillId="0" borderId="0" xfId="53" applyNumberFormat="1" applyFont="1" applyFill="1" applyAlignment="1">
      <alignment horizontal="center"/>
      <protection/>
    </xf>
    <xf numFmtId="49" fontId="6" fillId="24" borderId="0" xfId="53" applyNumberFormat="1" applyFont="1" applyFill="1" applyAlignment="1">
      <alignment horizontal="center"/>
      <protection/>
    </xf>
    <xf numFmtId="49" fontId="6" fillId="0" borderId="0" xfId="53" applyNumberFormat="1" applyFont="1" applyFill="1" applyAlignment="1">
      <alignment horizontal="center"/>
      <protection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53" applyNumberFormat="1" applyFont="1" applyFill="1" applyAlignment="1" quotePrefix="1">
      <alignment vertical="center" wrapText="1"/>
      <protection/>
    </xf>
    <xf numFmtId="49" fontId="6" fillId="0" borderId="0" xfId="53" applyNumberFormat="1" applyFont="1" applyFill="1" applyAlignment="1" quotePrefix="1">
      <alignment wrapText="1"/>
      <protection/>
    </xf>
    <xf numFmtId="0" fontId="6" fillId="0" borderId="0" xfId="53" applyFont="1" applyFill="1" applyAlignment="1">
      <alignment wrapText="1"/>
      <protection/>
    </xf>
    <xf numFmtId="0" fontId="6" fillId="24" borderId="10" xfId="53" applyNumberFormat="1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wrapText="1"/>
      <protection/>
    </xf>
    <xf numFmtId="0" fontId="6" fillId="24" borderId="10" xfId="53" applyNumberFormat="1" applyFont="1" applyFill="1" applyBorder="1" applyAlignment="1">
      <alignment horizontal="center" vertical="center"/>
      <protection/>
    </xf>
    <xf numFmtId="3" fontId="6" fillId="24" borderId="10" xfId="53" applyNumberFormat="1" applyFont="1" applyFill="1" applyBorder="1" applyAlignment="1">
      <alignment horizontal="center" vertical="center"/>
      <protection/>
    </xf>
    <xf numFmtId="4" fontId="6" fillId="24" borderId="10" xfId="55" applyNumberFormat="1" applyFont="1" applyFill="1" applyBorder="1" applyAlignment="1">
      <alignment horizontal="center" wrapText="1"/>
      <protection/>
    </xf>
    <xf numFmtId="4" fontId="6" fillId="24" borderId="10" xfId="55" applyNumberFormat="1" applyFont="1" applyFill="1" applyBorder="1" applyAlignment="1">
      <alignment horizontal="center" wrapText="1"/>
      <protection/>
    </xf>
    <xf numFmtId="4" fontId="6" fillId="0" borderId="10" xfId="55" applyNumberFormat="1" applyFont="1" applyFill="1" applyBorder="1" applyAlignment="1">
      <alignment horizontal="center" wrapText="1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24" borderId="10" xfId="53" applyFont="1" applyFill="1" applyBorder="1">
      <alignment/>
      <protection/>
    </xf>
    <xf numFmtId="0" fontId="6" fillId="24" borderId="10" xfId="53" applyFont="1" applyFill="1" applyBorder="1" applyAlignment="1">
      <alignment vertical="top" wrapText="1"/>
      <protection/>
    </xf>
    <xf numFmtId="49" fontId="6" fillId="24" borderId="10" xfId="53" applyNumberFormat="1" applyFont="1" applyFill="1" applyBorder="1" applyAlignment="1">
      <alignment horizontal="center" wrapText="1"/>
      <protection/>
    </xf>
    <xf numFmtId="0" fontId="2" fillId="24" borderId="10" xfId="53" applyFont="1" applyFill="1" applyBorder="1" applyAlignment="1">
      <alignment vertical="top" wrapText="1"/>
      <protection/>
    </xf>
    <xf numFmtId="49" fontId="2" fillId="24" borderId="10" xfId="53" applyNumberFormat="1" applyFont="1" applyFill="1" applyBorder="1" applyAlignment="1">
      <alignment horizontal="center" wrapText="1"/>
      <protection/>
    </xf>
    <xf numFmtId="0" fontId="6" fillId="24" borderId="10" xfId="55" applyFont="1" applyFill="1" applyBorder="1" applyAlignment="1">
      <alignment wrapText="1"/>
      <protection/>
    </xf>
    <xf numFmtId="0" fontId="2" fillId="24" borderId="10" xfId="55" applyFont="1" applyFill="1" applyBorder="1" applyAlignment="1">
      <alignment wrapText="1"/>
      <protection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vertical="top" wrapText="1"/>
    </xf>
    <xf numFmtId="49" fontId="2" fillId="27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49" fontId="2" fillId="27" borderId="23" xfId="55" applyNumberFormat="1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22" xfId="55" applyFont="1" applyBorder="1" applyAlignment="1">
      <alignment wrapText="1"/>
      <protection/>
    </xf>
    <xf numFmtId="0" fontId="27" fillId="24" borderId="10" xfId="53" applyFont="1" applyFill="1" applyBorder="1" applyAlignment="1">
      <alignment vertical="top" wrapText="1"/>
      <protection/>
    </xf>
    <xf numFmtId="49" fontId="2" fillId="0" borderId="24" xfId="0" applyNumberFormat="1" applyFont="1" applyFill="1" applyBorder="1" applyAlignment="1">
      <alignment vertical="top" wrapText="1"/>
    </xf>
    <xf numFmtId="49" fontId="6" fillId="26" borderId="10" xfId="0" applyNumberFormat="1" applyFont="1" applyFill="1" applyBorder="1" applyAlignment="1">
      <alignment vertical="top" wrapText="1"/>
    </xf>
    <xf numFmtId="49" fontId="9" fillId="24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25" xfId="0" applyNumberFormat="1" applyFont="1" applyFill="1" applyBorder="1" applyAlignment="1">
      <alignment vertical="top" wrapText="1"/>
    </xf>
    <xf numFmtId="0" fontId="28" fillId="24" borderId="10" xfId="55" applyFont="1" applyFill="1" applyBorder="1" applyAlignment="1">
      <alignment horizontal="left" wrapText="1"/>
      <protection/>
    </xf>
    <xf numFmtId="0" fontId="2" fillId="24" borderId="10" xfId="53" applyFont="1" applyFill="1" applyBorder="1" applyAlignment="1">
      <alignment horizontal="center" wrapText="1"/>
      <protection/>
    </xf>
    <xf numFmtId="0" fontId="2" fillId="24" borderId="10" xfId="0" applyFont="1" applyFill="1" applyBorder="1" applyAlignment="1">
      <alignment wrapText="1"/>
    </xf>
    <xf numFmtId="0" fontId="2" fillId="24" borderId="10" xfId="53" applyFont="1" applyFill="1" applyBorder="1" applyAlignment="1">
      <alignment wrapText="1"/>
      <protection/>
    </xf>
    <xf numFmtId="0" fontId="2" fillId="25" borderId="10" xfId="53" applyFont="1" applyFill="1" applyBorder="1" applyAlignment="1">
      <alignment vertical="top" wrapText="1"/>
      <protection/>
    </xf>
    <xf numFmtId="0" fontId="6" fillId="0" borderId="0" xfId="0" applyFont="1" applyAlignment="1">
      <alignment wrapText="1"/>
    </xf>
    <xf numFmtId="0" fontId="2" fillId="24" borderId="10" xfId="53" applyFont="1" applyFill="1" applyBorder="1">
      <alignment/>
      <protection/>
    </xf>
    <xf numFmtId="164" fontId="2" fillId="0" borderId="0" xfId="53" applyNumberFormat="1" applyFont="1">
      <alignment/>
      <protection/>
    </xf>
    <xf numFmtId="0" fontId="2" fillId="0" borderId="0" xfId="53" applyFont="1" applyFill="1" applyAlignment="1">
      <alignment horizontal="center" wrapText="1"/>
      <protection/>
    </xf>
    <xf numFmtId="49" fontId="2" fillId="0" borderId="0" xfId="53" applyNumberFormat="1" applyFont="1" applyFill="1" applyAlignment="1">
      <alignment horizontal="center"/>
      <protection/>
    </xf>
    <xf numFmtId="49" fontId="2" fillId="0" borderId="0" xfId="53" applyNumberFormat="1" applyFont="1" applyFill="1">
      <alignment/>
      <protection/>
    </xf>
    <xf numFmtId="0" fontId="2" fillId="0" borderId="0" xfId="53" applyFont="1" applyFill="1" applyAlignment="1">
      <alignment horizontal="left" wrapText="1"/>
      <protection/>
    </xf>
    <xf numFmtId="168" fontId="2" fillId="24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24" borderId="10" xfId="52" applyFont="1" applyFill="1" applyBorder="1" applyAlignment="1">
      <alignment wrapText="1"/>
      <protection/>
    </xf>
    <xf numFmtId="0" fontId="3" fillId="24" borderId="10" xfId="52" applyFont="1" applyFill="1" applyBorder="1" applyAlignme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3" fontId="3" fillId="0" borderId="26" xfId="53" applyNumberFormat="1" applyFont="1" applyFill="1" applyBorder="1" applyAlignment="1" applyProtection="1">
      <alignment horizontal="right" shrinkToFi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3" fillId="0" borderId="32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wrapText="1"/>
      <protection/>
    </xf>
    <xf numFmtId="0" fontId="3" fillId="24" borderId="10" xfId="52" applyFont="1" applyFill="1" applyBorder="1" applyAlignment="1">
      <alignment horizontal="center" wrapText="1"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 applyFill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6" fillId="0" borderId="0" xfId="0" applyFont="1" applyAlignment="1">
      <alignment horizontal="right"/>
    </xf>
    <xf numFmtId="49" fontId="6" fillId="0" borderId="0" xfId="53" applyNumberFormat="1" applyFont="1" applyFill="1" applyAlignment="1">
      <alignment horizontal="center"/>
      <protection/>
    </xf>
    <xf numFmtId="168" fontId="2" fillId="0" borderId="0" xfId="0" applyNumberFormat="1" applyFont="1" applyAlignment="1">
      <alignment horizontal="center"/>
    </xf>
    <xf numFmtId="49" fontId="6" fillId="0" borderId="0" xfId="53" applyNumberFormat="1" applyFont="1" applyFill="1" applyAlignment="1">
      <alignment horizontal="center" wrapText="1"/>
      <protection/>
    </xf>
    <xf numFmtId="3" fontId="2" fillId="0" borderId="26" xfId="53" applyNumberFormat="1" applyFont="1" applyFill="1" applyBorder="1" applyAlignment="1" applyProtection="1">
      <alignment horizontal="right"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 2" xfId="54"/>
    <cellStyle name="Обычный_Лист2" xfId="55"/>
    <cellStyle name="Обычный_фото улусо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view="pageBreakPreview" zoomScaleSheetLayoutView="100" zoomScalePageLayoutView="0" workbookViewId="0" topLeftCell="A1">
      <pane xSplit="4" ySplit="5" topLeftCell="J94" activePane="bottomRight" state="frozen"/>
      <selection pane="topLeft" activeCell="J57" sqref="J57"/>
      <selection pane="topRight" activeCell="J57" sqref="J57"/>
      <selection pane="bottomLeft" activeCell="J57" sqref="J57"/>
      <selection pane="bottomRight" activeCell="B5" sqref="B5:K5"/>
    </sheetView>
  </sheetViews>
  <sheetFormatPr defaultColWidth="9.00390625" defaultRowHeight="12.75"/>
  <cols>
    <col min="1" max="1" width="19.625" style="72" customWidth="1"/>
    <col min="2" max="2" width="67.75390625" style="72" customWidth="1"/>
    <col min="3" max="4" width="17.25390625" style="72" hidden="1" customWidth="1"/>
    <col min="5" max="5" width="16.75390625" style="72" hidden="1" customWidth="1"/>
    <col min="6" max="6" width="12.00390625" style="72" hidden="1" customWidth="1"/>
    <col min="7" max="7" width="13.375" style="72" hidden="1" customWidth="1"/>
    <col min="8" max="9" width="13.375" style="102" hidden="1" customWidth="1"/>
    <col min="10" max="10" width="13.375" style="102" customWidth="1"/>
    <col min="11" max="11" width="13.25390625" style="102" customWidth="1"/>
    <col min="12" max="16384" width="9.125" style="72" customWidth="1"/>
  </cols>
  <sheetData>
    <row r="1" spans="1:11" ht="12.75">
      <c r="A1" s="1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>
      <c r="A2" s="1"/>
      <c r="B2" s="197" t="s">
        <v>1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2.75">
      <c r="A4" s="1"/>
      <c r="B4" s="197" t="s">
        <v>3</v>
      </c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2.75">
      <c r="A5" s="1"/>
      <c r="B5" s="197" t="s">
        <v>507</v>
      </c>
      <c r="C5" s="197"/>
      <c r="D5" s="197"/>
      <c r="E5" s="197"/>
      <c r="F5" s="197"/>
      <c r="G5" s="197"/>
      <c r="H5" s="197"/>
      <c r="I5" s="197"/>
      <c r="J5" s="197"/>
      <c r="K5" s="197"/>
    </row>
    <row r="6" spans="1:11" ht="12.75">
      <c r="A6" s="1"/>
      <c r="B6" s="98"/>
      <c r="C6" s="98" t="s">
        <v>4</v>
      </c>
      <c r="D6" s="98"/>
      <c r="E6" s="98" t="s">
        <v>503</v>
      </c>
      <c r="F6" s="98"/>
      <c r="G6" s="98"/>
      <c r="H6" s="99"/>
      <c r="I6" s="99"/>
      <c r="J6" s="99"/>
      <c r="K6" s="99"/>
    </row>
    <row r="7" spans="1:11" ht="12.75">
      <c r="A7" s="1"/>
      <c r="B7" s="197" t="s">
        <v>0</v>
      </c>
      <c r="C7" s="197"/>
      <c r="D7" s="197"/>
      <c r="E7" s="197"/>
      <c r="F7" s="197"/>
      <c r="G7" s="197"/>
      <c r="H7" s="197"/>
      <c r="I7" s="197"/>
      <c r="J7" s="197"/>
      <c r="K7" s="197"/>
    </row>
    <row r="8" spans="1:11" ht="12.75">
      <c r="A8" s="1"/>
      <c r="B8" s="197" t="s">
        <v>1</v>
      </c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1"/>
      <c r="B9" s="197" t="s">
        <v>2</v>
      </c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2.75">
      <c r="A10" s="1"/>
      <c r="B10" s="197" t="s">
        <v>3</v>
      </c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6" ht="12.75">
      <c r="A11" s="1"/>
      <c r="B11" s="197" t="s">
        <v>5</v>
      </c>
      <c r="C11" s="197"/>
      <c r="D11" s="197"/>
      <c r="E11" s="197"/>
      <c r="F11" s="197"/>
      <c r="G11" s="197"/>
      <c r="H11" s="197"/>
      <c r="I11" s="197"/>
      <c r="J11" s="197"/>
      <c r="K11" s="197"/>
      <c r="P11" s="100"/>
    </row>
    <row r="12" spans="1:11" ht="12.75">
      <c r="A12" s="1"/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5" ht="12.75">
      <c r="A13" s="1"/>
      <c r="B13" s="101"/>
      <c r="C13" s="1"/>
      <c r="D13" s="1"/>
      <c r="E13" s="1"/>
    </row>
    <row r="14" spans="1:5" ht="12.75">
      <c r="A14" s="199" t="s">
        <v>6</v>
      </c>
      <c r="B14" s="199"/>
      <c r="C14" s="199"/>
      <c r="D14" s="199"/>
      <c r="E14" s="199"/>
    </row>
    <row r="15" spans="1:11" ht="12" customHeight="1">
      <c r="A15" s="1"/>
      <c r="B15" s="2"/>
      <c r="C15" s="1"/>
      <c r="D15" s="1"/>
      <c r="E15" s="201" t="s">
        <v>7</v>
      </c>
      <c r="F15" s="201"/>
      <c r="G15" s="201"/>
      <c r="H15" s="201"/>
      <c r="I15" s="201"/>
      <c r="J15" s="201"/>
      <c r="K15" s="201"/>
    </row>
    <row r="16" spans="1:11" ht="21" customHeight="1">
      <c r="A16" s="202" t="s">
        <v>8</v>
      </c>
      <c r="B16" s="202" t="s">
        <v>9</v>
      </c>
      <c r="C16" s="204" t="s">
        <v>10</v>
      </c>
      <c r="D16" s="205"/>
      <c r="E16" s="206"/>
      <c r="F16" s="213" t="s">
        <v>11</v>
      </c>
      <c r="G16" s="213" t="s">
        <v>11</v>
      </c>
      <c r="H16" s="195" t="s">
        <v>11</v>
      </c>
      <c r="I16" s="195" t="s">
        <v>11</v>
      </c>
      <c r="J16" s="195" t="s">
        <v>11</v>
      </c>
      <c r="K16" s="214" t="s">
        <v>10</v>
      </c>
    </row>
    <row r="17" spans="1:11" ht="13.5" customHeight="1" hidden="1" thickBot="1">
      <c r="A17" s="203"/>
      <c r="B17" s="203"/>
      <c r="C17" s="207"/>
      <c r="D17" s="208"/>
      <c r="E17" s="209"/>
      <c r="F17" s="203"/>
      <c r="G17" s="203"/>
      <c r="H17" s="196"/>
      <c r="I17" s="196"/>
      <c r="J17" s="196"/>
      <c r="K17" s="214"/>
    </row>
    <row r="18" spans="1:11" ht="8.25" customHeight="1">
      <c r="A18" s="203"/>
      <c r="B18" s="203"/>
      <c r="C18" s="207"/>
      <c r="D18" s="208"/>
      <c r="E18" s="209"/>
      <c r="F18" s="203"/>
      <c r="G18" s="203"/>
      <c r="H18" s="196"/>
      <c r="I18" s="196"/>
      <c r="J18" s="196"/>
      <c r="K18" s="214"/>
    </row>
    <row r="19" spans="1:11" ht="36.75" customHeight="1">
      <c r="A19" s="203"/>
      <c r="B19" s="203"/>
      <c r="C19" s="210"/>
      <c r="D19" s="211"/>
      <c r="E19" s="212"/>
      <c r="F19" s="203"/>
      <c r="G19" s="203"/>
      <c r="H19" s="196"/>
      <c r="I19" s="196"/>
      <c r="J19" s="196"/>
      <c r="K19" s="214"/>
    </row>
    <row r="20" spans="1:11" ht="15">
      <c r="A20" s="3">
        <v>1</v>
      </c>
      <c r="B20" s="3">
        <v>2</v>
      </c>
      <c r="C20" s="3">
        <v>3</v>
      </c>
      <c r="D20" s="3">
        <v>4</v>
      </c>
      <c r="E20" s="3">
        <v>3</v>
      </c>
      <c r="F20" s="4"/>
      <c r="G20" s="4"/>
      <c r="H20" s="5"/>
      <c r="I20" s="5"/>
      <c r="J20" s="5"/>
      <c r="K20" s="103"/>
    </row>
    <row r="21" spans="1:11" s="10" customFormat="1" ht="12.75">
      <c r="A21" s="6"/>
      <c r="B21" s="6" t="s">
        <v>12</v>
      </c>
      <c r="C21" s="7" t="e">
        <f>#REF!</f>
        <v>#REF!</v>
      </c>
      <c r="D21" s="6"/>
      <c r="E21" s="8">
        <f aca="true" t="shared" si="0" ref="E21:K21">E22+E47</f>
        <v>431623.49999999994</v>
      </c>
      <c r="F21" s="8">
        <f t="shared" si="0"/>
        <v>932</v>
      </c>
      <c r="G21" s="8">
        <f t="shared" si="0"/>
        <v>0</v>
      </c>
      <c r="H21" s="9">
        <f t="shared" si="0"/>
        <v>16607.02</v>
      </c>
      <c r="I21" s="9">
        <f t="shared" si="0"/>
        <v>8870</v>
      </c>
      <c r="J21" s="9">
        <f t="shared" si="0"/>
        <v>8185</v>
      </c>
      <c r="K21" s="9">
        <f t="shared" si="0"/>
        <v>466217.51999999996</v>
      </c>
    </row>
    <row r="22" spans="1:11" s="10" customFormat="1" ht="12.75">
      <c r="A22" s="6"/>
      <c r="B22" s="6" t="s">
        <v>13</v>
      </c>
      <c r="C22" s="7">
        <f>C23+C30+C35+C38+C40+C42+C46</f>
        <v>1021698.3</v>
      </c>
      <c r="D22" s="6"/>
      <c r="E22" s="8">
        <f aca="true" t="shared" si="1" ref="E22:K22">E23+E30+E35+E38+E40+E42+E46</f>
        <v>418236.99999999994</v>
      </c>
      <c r="F22" s="8">
        <f t="shared" si="1"/>
        <v>0</v>
      </c>
      <c r="G22" s="8">
        <f t="shared" si="1"/>
        <v>0</v>
      </c>
      <c r="H22" s="9">
        <f t="shared" si="1"/>
        <v>8100</v>
      </c>
      <c r="I22" s="9">
        <f t="shared" si="1"/>
        <v>0</v>
      </c>
      <c r="J22" s="9">
        <f t="shared" si="1"/>
        <v>4185</v>
      </c>
      <c r="K22" s="9">
        <f t="shared" si="1"/>
        <v>430521.99999999994</v>
      </c>
    </row>
    <row r="23" spans="1:11" ht="12.75">
      <c r="A23" s="11" t="s">
        <v>14</v>
      </c>
      <c r="B23" s="11" t="s">
        <v>15</v>
      </c>
      <c r="C23" s="12">
        <f>C24+C25+C26+C27+C28</f>
        <v>923200</v>
      </c>
      <c r="D23" s="13">
        <v>30</v>
      </c>
      <c r="E23" s="14">
        <f>E24+E25+E26+E27+E28</f>
        <v>297816</v>
      </c>
      <c r="F23" s="7"/>
      <c r="G23" s="7"/>
      <c r="H23" s="15"/>
      <c r="I23" s="15"/>
      <c r="J23" s="15">
        <f>J26</f>
        <v>4185</v>
      </c>
      <c r="K23" s="16">
        <f>E23+F23+J23</f>
        <v>302001</v>
      </c>
    </row>
    <row r="24" spans="1:11" ht="12.75">
      <c r="A24" s="11" t="s">
        <v>16</v>
      </c>
      <c r="B24" s="11" t="s">
        <v>15</v>
      </c>
      <c r="C24" s="11">
        <v>1370</v>
      </c>
      <c r="D24" s="17">
        <v>30</v>
      </c>
      <c r="E24" s="14">
        <v>1140</v>
      </c>
      <c r="F24" s="11"/>
      <c r="G24" s="11"/>
      <c r="H24" s="18"/>
      <c r="I24" s="18"/>
      <c r="J24" s="18"/>
      <c r="K24" s="16">
        <f>E24+F24</f>
        <v>1140</v>
      </c>
    </row>
    <row r="25" spans="1:11" ht="12.75">
      <c r="A25" s="11" t="s">
        <v>17</v>
      </c>
      <c r="B25" s="11" t="s">
        <v>15</v>
      </c>
      <c r="C25" s="12">
        <v>915264</v>
      </c>
      <c r="D25" s="17">
        <v>30</v>
      </c>
      <c r="E25" s="14">
        <v>295660.8</v>
      </c>
      <c r="F25" s="12"/>
      <c r="G25" s="12"/>
      <c r="H25" s="16"/>
      <c r="I25" s="16"/>
      <c r="J25" s="16"/>
      <c r="K25" s="16">
        <f aca="true" t="shared" si="2" ref="K25:K45">E25+F25</f>
        <v>295660.8</v>
      </c>
    </row>
    <row r="26" spans="1:11" ht="12.75">
      <c r="A26" s="11" t="s">
        <v>18</v>
      </c>
      <c r="B26" s="11" t="s">
        <v>15</v>
      </c>
      <c r="C26" s="12">
        <v>6315</v>
      </c>
      <c r="D26" s="17">
        <v>30</v>
      </c>
      <c r="E26" s="14">
        <v>900</v>
      </c>
      <c r="F26" s="12"/>
      <c r="G26" s="12"/>
      <c r="H26" s="16"/>
      <c r="I26" s="16"/>
      <c r="J26" s="16">
        <f>3615+570</f>
        <v>4185</v>
      </c>
      <c r="K26" s="16">
        <f>E26+F26+J26</f>
        <v>5085</v>
      </c>
    </row>
    <row r="27" spans="1:11" ht="12.75">
      <c r="A27" s="11" t="s">
        <v>19</v>
      </c>
      <c r="B27" s="11" t="s">
        <v>15</v>
      </c>
      <c r="C27" s="11">
        <v>84</v>
      </c>
      <c r="D27" s="17">
        <v>30</v>
      </c>
      <c r="E27" s="14">
        <v>25.2</v>
      </c>
      <c r="F27" s="11"/>
      <c r="G27" s="11"/>
      <c r="H27" s="18"/>
      <c r="I27" s="18"/>
      <c r="J27" s="18"/>
      <c r="K27" s="16">
        <f t="shared" si="2"/>
        <v>25.2</v>
      </c>
    </row>
    <row r="28" spans="1:11" ht="12.75">
      <c r="A28" s="11" t="s">
        <v>20</v>
      </c>
      <c r="B28" s="11" t="s">
        <v>15</v>
      </c>
      <c r="C28" s="11">
        <v>167</v>
      </c>
      <c r="D28" s="17">
        <v>30</v>
      </c>
      <c r="E28" s="14">
        <v>90</v>
      </c>
      <c r="F28" s="11"/>
      <c r="G28" s="11"/>
      <c r="H28" s="18"/>
      <c r="I28" s="18"/>
      <c r="J28" s="18"/>
      <c r="K28" s="16">
        <f t="shared" si="2"/>
        <v>90</v>
      </c>
    </row>
    <row r="29" spans="1:11" ht="12.75" hidden="1">
      <c r="A29" s="11" t="s">
        <v>21</v>
      </c>
      <c r="B29" s="11" t="s">
        <v>15</v>
      </c>
      <c r="C29" s="11"/>
      <c r="D29" s="11"/>
      <c r="E29" s="14"/>
      <c r="F29" s="11"/>
      <c r="G29" s="11"/>
      <c r="H29" s="18"/>
      <c r="I29" s="18"/>
      <c r="J29" s="18"/>
      <c r="K29" s="16">
        <f t="shared" si="2"/>
        <v>0</v>
      </c>
    </row>
    <row r="30" spans="1:11" ht="12.75">
      <c r="A30" s="11" t="s">
        <v>22</v>
      </c>
      <c r="B30" s="11" t="s">
        <v>23</v>
      </c>
      <c r="C30" s="11">
        <f>C31+C32+C33+C34</f>
        <v>89760.3</v>
      </c>
      <c r="D30" s="11"/>
      <c r="E30" s="14">
        <f>E31+E32+E33+E34</f>
        <v>99412.6</v>
      </c>
      <c r="F30" s="7"/>
      <c r="G30" s="7"/>
      <c r="H30" s="15">
        <f>H31+H32+H33+H34</f>
        <v>8100</v>
      </c>
      <c r="I30" s="15"/>
      <c r="J30" s="15"/>
      <c r="K30" s="16">
        <f>E30+F30+H30</f>
        <v>107512.6</v>
      </c>
    </row>
    <row r="31" spans="1:11" ht="22.5">
      <c r="A31" s="11" t="s">
        <v>24</v>
      </c>
      <c r="B31" s="19" t="s">
        <v>25</v>
      </c>
      <c r="C31" s="11">
        <v>43900.3</v>
      </c>
      <c r="D31" s="11">
        <v>90</v>
      </c>
      <c r="E31" s="14">
        <v>50038</v>
      </c>
      <c r="F31" s="6"/>
      <c r="G31" s="6"/>
      <c r="H31" s="20"/>
      <c r="I31" s="20"/>
      <c r="J31" s="20"/>
      <c r="K31" s="16">
        <f t="shared" si="2"/>
        <v>50038</v>
      </c>
    </row>
    <row r="32" spans="1:11" ht="22.5">
      <c r="A32" s="11" t="s">
        <v>26</v>
      </c>
      <c r="B32" s="19" t="s">
        <v>25</v>
      </c>
      <c r="C32" s="11">
        <v>8046</v>
      </c>
      <c r="D32" s="11">
        <v>90</v>
      </c>
      <c r="E32" s="14">
        <v>9065</v>
      </c>
      <c r="F32" s="11"/>
      <c r="G32" s="11"/>
      <c r="H32" s="21">
        <v>8100</v>
      </c>
      <c r="I32" s="21"/>
      <c r="J32" s="21"/>
      <c r="K32" s="16">
        <f>E32+F32+H32</f>
        <v>17165</v>
      </c>
    </row>
    <row r="33" spans="1:11" ht="12.75">
      <c r="A33" s="11" t="s">
        <v>27</v>
      </c>
      <c r="B33" s="19" t="s">
        <v>28</v>
      </c>
      <c r="C33" s="11">
        <v>37709</v>
      </c>
      <c r="D33" s="11">
        <v>90</v>
      </c>
      <c r="E33" s="14">
        <v>40258</v>
      </c>
      <c r="F33" s="11"/>
      <c r="G33" s="11"/>
      <c r="H33" s="18"/>
      <c r="I33" s="18"/>
      <c r="J33" s="18"/>
      <c r="K33" s="16">
        <f t="shared" si="2"/>
        <v>40258</v>
      </c>
    </row>
    <row r="34" spans="1:11" ht="12.75">
      <c r="A34" s="11" t="s">
        <v>29</v>
      </c>
      <c r="B34" s="11" t="s">
        <v>30</v>
      </c>
      <c r="C34" s="11">
        <v>105</v>
      </c>
      <c r="D34" s="11">
        <v>60</v>
      </c>
      <c r="E34" s="14">
        <v>51.6</v>
      </c>
      <c r="F34" s="11"/>
      <c r="G34" s="11"/>
      <c r="H34" s="18"/>
      <c r="I34" s="18"/>
      <c r="J34" s="18"/>
      <c r="K34" s="16">
        <f t="shared" si="2"/>
        <v>51.6</v>
      </c>
    </row>
    <row r="35" spans="1:11" ht="12.75" hidden="1">
      <c r="A35" s="11" t="s">
        <v>31</v>
      </c>
      <c r="B35" s="11" t="s">
        <v>32</v>
      </c>
      <c r="C35" s="11">
        <v>0</v>
      </c>
      <c r="D35" s="11"/>
      <c r="E35" s="14">
        <v>0</v>
      </c>
      <c r="F35" s="6"/>
      <c r="G35" s="6"/>
      <c r="H35" s="20"/>
      <c r="I35" s="20"/>
      <c r="J35" s="20"/>
      <c r="K35" s="16">
        <f t="shared" si="2"/>
        <v>0</v>
      </c>
    </row>
    <row r="36" spans="1:11" ht="12.75" hidden="1">
      <c r="A36" s="11" t="s">
        <v>33</v>
      </c>
      <c r="B36" s="11" t="s">
        <v>34</v>
      </c>
      <c r="C36" s="11"/>
      <c r="D36" s="11"/>
      <c r="E36" s="14"/>
      <c r="F36" s="11"/>
      <c r="G36" s="11"/>
      <c r="H36" s="18"/>
      <c r="I36" s="18"/>
      <c r="J36" s="18"/>
      <c r="K36" s="16">
        <f t="shared" si="2"/>
        <v>0</v>
      </c>
    </row>
    <row r="37" spans="1:11" ht="12.75" hidden="1">
      <c r="A37" s="11" t="s">
        <v>35</v>
      </c>
      <c r="B37" s="11" t="s">
        <v>36</v>
      </c>
      <c r="C37" s="11"/>
      <c r="D37" s="11"/>
      <c r="E37" s="14"/>
      <c r="F37" s="11"/>
      <c r="G37" s="11"/>
      <c r="H37" s="18"/>
      <c r="I37" s="18"/>
      <c r="J37" s="18"/>
      <c r="K37" s="16">
        <f t="shared" si="2"/>
        <v>0</v>
      </c>
    </row>
    <row r="38" spans="1:11" s="10" customFormat="1" ht="12.75" hidden="1">
      <c r="A38" s="11" t="s">
        <v>37</v>
      </c>
      <c r="B38" s="11" t="s">
        <v>38</v>
      </c>
      <c r="C38" s="11">
        <f>C39</f>
        <v>0</v>
      </c>
      <c r="D38" s="11"/>
      <c r="E38" s="14">
        <f>E39</f>
        <v>0</v>
      </c>
      <c r="F38" s="6"/>
      <c r="G38" s="6"/>
      <c r="H38" s="20"/>
      <c r="I38" s="20"/>
      <c r="J38" s="20"/>
      <c r="K38" s="16">
        <f t="shared" si="2"/>
        <v>0</v>
      </c>
    </row>
    <row r="39" spans="1:11" ht="12.75" hidden="1">
      <c r="A39" s="11" t="s">
        <v>39</v>
      </c>
      <c r="B39" s="11" t="s">
        <v>38</v>
      </c>
      <c r="C39" s="11">
        <v>0</v>
      </c>
      <c r="D39" s="11">
        <v>100</v>
      </c>
      <c r="E39" s="14">
        <f>C39*D39/100</f>
        <v>0</v>
      </c>
      <c r="F39" s="7"/>
      <c r="G39" s="7"/>
      <c r="H39" s="15"/>
      <c r="I39" s="15"/>
      <c r="J39" s="15"/>
      <c r="K39" s="16">
        <f t="shared" si="2"/>
        <v>0</v>
      </c>
    </row>
    <row r="40" spans="1:11" ht="12.75">
      <c r="A40" s="11" t="s">
        <v>40</v>
      </c>
      <c r="B40" s="19" t="s">
        <v>41</v>
      </c>
      <c r="C40" s="11">
        <f>C41</f>
        <v>3538</v>
      </c>
      <c r="D40" s="11"/>
      <c r="E40" s="14">
        <f>E41</f>
        <v>2500.3</v>
      </c>
      <c r="F40" s="6"/>
      <c r="G40" s="6"/>
      <c r="H40" s="20"/>
      <c r="I40" s="20"/>
      <c r="J40" s="20"/>
      <c r="K40" s="16">
        <f t="shared" si="2"/>
        <v>2500.3</v>
      </c>
    </row>
    <row r="41" spans="1:11" ht="12.75">
      <c r="A41" s="11" t="s">
        <v>42</v>
      </c>
      <c r="B41" s="11" t="s">
        <v>43</v>
      </c>
      <c r="C41" s="11">
        <v>3538</v>
      </c>
      <c r="D41" s="11">
        <v>100</v>
      </c>
      <c r="E41" s="14">
        <v>2500.3</v>
      </c>
      <c r="F41" s="7"/>
      <c r="G41" s="7"/>
      <c r="H41" s="15"/>
      <c r="I41" s="15"/>
      <c r="J41" s="15"/>
      <c r="K41" s="16">
        <f t="shared" si="2"/>
        <v>2500.3</v>
      </c>
    </row>
    <row r="42" spans="1:11" s="10" customFormat="1" ht="12.75">
      <c r="A42" s="11" t="s">
        <v>44</v>
      </c>
      <c r="B42" s="11" t="s">
        <v>45</v>
      </c>
      <c r="C42" s="12">
        <f>C43+C45</f>
        <v>5200</v>
      </c>
      <c r="D42" s="11"/>
      <c r="E42" s="14">
        <f>E43+E45</f>
        <v>18508.1</v>
      </c>
      <c r="F42" s="7"/>
      <c r="G42" s="7"/>
      <c r="H42" s="15"/>
      <c r="I42" s="15"/>
      <c r="J42" s="15"/>
      <c r="K42" s="16">
        <f t="shared" si="2"/>
        <v>18508.1</v>
      </c>
    </row>
    <row r="43" spans="1:11" ht="22.5">
      <c r="A43" s="11" t="s">
        <v>46</v>
      </c>
      <c r="B43" s="19" t="s">
        <v>47</v>
      </c>
      <c r="C43" s="12">
        <v>2000</v>
      </c>
      <c r="D43" s="11">
        <v>100</v>
      </c>
      <c r="E43" s="14">
        <v>5000</v>
      </c>
      <c r="F43" s="12"/>
      <c r="G43" s="12"/>
      <c r="H43" s="16"/>
      <c r="I43" s="16"/>
      <c r="J43" s="16"/>
      <c r="K43" s="16">
        <f t="shared" si="2"/>
        <v>5000</v>
      </c>
    </row>
    <row r="44" spans="1:11" ht="12.75" hidden="1">
      <c r="A44" s="11" t="s">
        <v>48</v>
      </c>
      <c r="B44" s="19" t="s">
        <v>49</v>
      </c>
      <c r="C44" s="11"/>
      <c r="D44" s="11">
        <v>100</v>
      </c>
      <c r="E44" s="14"/>
      <c r="F44" s="11"/>
      <c r="G44" s="11"/>
      <c r="H44" s="18"/>
      <c r="I44" s="18"/>
      <c r="J44" s="18"/>
      <c r="K44" s="16">
        <f t="shared" si="2"/>
        <v>0</v>
      </c>
    </row>
    <row r="45" spans="1:11" ht="12.75">
      <c r="A45" s="11" t="s">
        <v>50</v>
      </c>
      <c r="B45" s="11" t="s">
        <v>51</v>
      </c>
      <c r="C45" s="12">
        <v>3200</v>
      </c>
      <c r="D45" s="11">
        <v>100</v>
      </c>
      <c r="E45" s="14">
        <v>13508.1</v>
      </c>
      <c r="F45" s="12"/>
      <c r="G45" s="12"/>
      <c r="H45" s="16"/>
      <c r="I45" s="16"/>
      <c r="J45" s="16"/>
      <c r="K45" s="16">
        <f t="shared" si="2"/>
        <v>13508.1</v>
      </c>
    </row>
    <row r="46" spans="1:11" s="10" customFormat="1" ht="12.75" hidden="1">
      <c r="A46" s="11" t="s">
        <v>52</v>
      </c>
      <c r="B46" s="19" t="s">
        <v>53</v>
      </c>
      <c r="C46" s="11"/>
      <c r="D46" s="11"/>
      <c r="E46" s="14"/>
      <c r="F46" s="6"/>
      <c r="G46" s="6"/>
      <c r="H46" s="20"/>
      <c r="I46" s="20"/>
      <c r="J46" s="20"/>
      <c r="K46" s="20"/>
    </row>
    <row r="47" spans="1:11" s="22" customFormat="1" ht="12.75">
      <c r="A47" s="6"/>
      <c r="B47" s="6" t="s">
        <v>54</v>
      </c>
      <c r="C47" s="7" t="e">
        <f>C48+C53+C54</f>
        <v>#REF!</v>
      </c>
      <c r="D47" s="7"/>
      <c r="E47" s="8">
        <f>E48+E53+E54</f>
        <v>13386.5</v>
      </c>
      <c r="F47" s="8">
        <f>F48+F53+F54</f>
        <v>932</v>
      </c>
      <c r="G47" s="8"/>
      <c r="H47" s="9">
        <f>H48+H53+H54</f>
        <v>8507.02</v>
      </c>
      <c r="I47" s="9">
        <f>I48+I53+I54+I56+I55</f>
        <v>8870</v>
      </c>
      <c r="J47" s="9">
        <f>J48+J53+J54+J56+J55</f>
        <v>4000</v>
      </c>
      <c r="K47" s="9">
        <f>K48+K53+K54+K56+K55</f>
        <v>35695.520000000004</v>
      </c>
    </row>
    <row r="48" spans="1:11" s="10" customFormat="1" ht="22.5">
      <c r="A48" s="11" t="s">
        <v>55</v>
      </c>
      <c r="B48" s="19" t="s">
        <v>56</v>
      </c>
      <c r="C48" s="11" t="e">
        <f>C49+C51+#REF!+C52</f>
        <v>#REF!</v>
      </c>
      <c r="D48" s="11"/>
      <c r="E48" s="14">
        <f>E49+E51+E52+E50</f>
        <v>9458.5</v>
      </c>
      <c r="F48" s="14">
        <f>F49+F51+F52+F50</f>
        <v>932</v>
      </c>
      <c r="G48" s="14"/>
      <c r="H48" s="23">
        <f>H49+H50+H51+H52</f>
        <v>1154.1</v>
      </c>
      <c r="I48" s="23"/>
      <c r="J48" s="23"/>
      <c r="K48" s="23">
        <f>K49+K51+K52+K50</f>
        <v>11544.6</v>
      </c>
    </row>
    <row r="49" spans="1:11" ht="22.5">
      <c r="A49" s="11" t="s">
        <v>57</v>
      </c>
      <c r="B49" s="19" t="s">
        <v>58</v>
      </c>
      <c r="C49" s="11">
        <v>2500</v>
      </c>
      <c r="D49" s="11">
        <v>100</v>
      </c>
      <c r="E49" s="14">
        <v>3000</v>
      </c>
      <c r="F49" s="11"/>
      <c r="G49" s="11"/>
      <c r="H49" s="18"/>
      <c r="I49" s="18"/>
      <c r="J49" s="18"/>
      <c r="K49" s="23">
        <f>E49+F49</f>
        <v>3000</v>
      </c>
    </row>
    <row r="50" spans="1:11" ht="36.75" customHeight="1">
      <c r="A50" s="11" t="s">
        <v>59</v>
      </c>
      <c r="B50" s="24" t="s">
        <v>60</v>
      </c>
      <c r="C50" s="11"/>
      <c r="D50" s="11"/>
      <c r="E50" s="14"/>
      <c r="F50" s="11">
        <v>932</v>
      </c>
      <c r="G50" s="11"/>
      <c r="H50" s="18"/>
      <c r="I50" s="18"/>
      <c r="J50" s="18"/>
      <c r="K50" s="23">
        <f>F50</f>
        <v>932</v>
      </c>
    </row>
    <row r="51" spans="1:11" ht="22.5">
      <c r="A51" s="11" t="s">
        <v>61</v>
      </c>
      <c r="B51" s="19" t="s">
        <v>62</v>
      </c>
      <c r="C51" s="11">
        <v>10067.6</v>
      </c>
      <c r="D51" s="11">
        <v>50</v>
      </c>
      <c r="E51" s="14">
        <v>6428.5</v>
      </c>
      <c r="F51" s="11"/>
      <c r="G51" s="11"/>
      <c r="H51" s="18">
        <v>1154.1</v>
      </c>
      <c r="I51" s="18"/>
      <c r="J51" s="18"/>
      <c r="K51" s="23">
        <f>E51+F51+H51</f>
        <v>7582.6</v>
      </c>
    </row>
    <row r="52" spans="1:11" ht="12.75">
      <c r="A52" s="11" t="s">
        <v>63</v>
      </c>
      <c r="B52" s="19" t="s">
        <v>64</v>
      </c>
      <c r="C52" s="11">
        <v>30</v>
      </c>
      <c r="D52" s="11">
        <v>100</v>
      </c>
      <c r="E52" s="14">
        <f>C52*D52/100</f>
        <v>30</v>
      </c>
      <c r="F52" s="11"/>
      <c r="G52" s="11"/>
      <c r="H52" s="18"/>
      <c r="I52" s="18"/>
      <c r="J52" s="18"/>
      <c r="K52" s="23">
        <f>E52+F52</f>
        <v>30</v>
      </c>
    </row>
    <row r="53" spans="1:11" s="10" customFormat="1" ht="12.75">
      <c r="A53" s="11" t="s">
        <v>65</v>
      </c>
      <c r="B53" s="19" t="s">
        <v>66</v>
      </c>
      <c r="C53" s="11">
        <v>7146</v>
      </c>
      <c r="D53" s="11">
        <v>40</v>
      </c>
      <c r="E53" s="14">
        <v>3808</v>
      </c>
      <c r="F53" s="7"/>
      <c r="G53" s="7"/>
      <c r="H53" s="16">
        <v>6267.92</v>
      </c>
      <c r="I53" s="16">
        <f>1600</f>
        <v>1600</v>
      </c>
      <c r="J53" s="16"/>
      <c r="K53" s="23">
        <f>E53+F53+H53+I53</f>
        <v>11675.92</v>
      </c>
    </row>
    <row r="54" spans="1:11" ht="12.75">
      <c r="A54" s="11" t="s">
        <v>67</v>
      </c>
      <c r="B54" s="19" t="s">
        <v>68</v>
      </c>
      <c r="C54" s="11">
        <v>4000</v>
      </c>
      <c r="D54" s="11">
        <v>100</v>
      </c>
      <c r="E54" s="14">
        <v>120</v>
      </c>
      <c r="F54" s="11"/>
      <c r="G54" s="11"/>
      <c r="H54" s="21">
        <v>1085</v>
      </c>
      <c r="I54" s="21">
        <f>2086+2610</f>
        <v>4696</v>
      </c>
      <c r="J54" s="21"/>
      <c r="K54" s="23">
        <f>E54+F54+H54+I54</f>
        <v>5901</v>
      </c>
    </row>
    <row r="55" spans="1:11" ht="22.5">
      <c r="A55" s="11" t="s">
        <v>500</v>
      </c>
      <c r="B55" s="19" t="s">
        <v>501</v>
      </c>
      <c r="C55" s="11"/>
      <c r="D55" s="11"/>
      <c r="E55" s="14"/>
      <c r="F55" s="11"/>
      <c r="G55" s="11"/>
      <c r="H55" s="21"/>
      <c r="I55" s="21">
        <f>200+750</f>
        <v>950</v>
      </c>
      <c r="J55" s="21">
        <v>4000</v>
      </c>
      <c r="K55" s="23">
        <f>I55+J55</f>
        <v>4950</v>
      </c>
    </row>
    <row r="56" spans="1:11" ht="12.75">
      <c r="A56" s="11" t="s">
        <v>494</v>
      </c>
      <c r="B56" s="19" t="s">
        <v>495</v>
      </c>
      <c r="C56" s="11"/>
      <c r="D56" s="11"/>
      <c r="E56" s="14"/>
      <c r="F56" s="11"/>
      <c r="G56" s="11"/>
      <c r="H56" s="21"/>
      <c r="I56" s="21">
        <f>1074+550</f>
        <v>1624</v>
      </c>
      <c r="J56" s="21"/>
      <c r="K56" s="23">
        <f>I56</f>
        <v>1624</v>
      </c>
    </row>
    <row r="57" spans="1:11" s="10" customFormat="1" ht="12.75">
      <c r="A57" s="25" t="s">
        <v>69</v>
      </c>
      <c r="B57" s="26" t="s">
        <v>70</v>
      </c>
      <c r="C57" s="6"/>
      <c r="D57" s="6"/>
      <c r="E57" s="27">
        <f aca="true" t="shared" si="3" ref="E57:K57">E58+E61+E75+E111</f>
        <v>1049093.125</v>
      </c>
      <c r="F57" s="27">
        <f t="shared" si="3"/>
        <v>24458.42</v>
      </c>
      <c r="G57" s="27">
        <f t="shared" si="3"/>
        <v>29218.5</v>
      </c>
      <c r="H57" s="28">
        <f t="shared" si="3"/>
        <v>-53277.668000000005</v>
      </c>
      <c r="I57" s="28">
        <f t="shared" si="3"/>
        <v>40954.365999999995</v>
      </c>
      <c r="J57" s="54">
        <f>J58+J61+J75+J111</f>
        <v>2896.58915</v>
      </c>
      <c r="K57" s="28">
        <f t="shared" si="3"/>
        <v>1093343.3321500001</v>
      </c>
    </row>
    <row r="58" spans="1:11" ht="12.75">
      <c r="A58" s="29" t="s">
        <v>71</v>
      </c>
      <c r="B58" s="30" t="s">
        <v>72</v>
      </c>
      <c r="C58" s="31"/>
      <c r="D58" s="31"/>
      <c r="E58" s="32">
        <f>E59+E60</f>
        <v>291068</v>
      </c>
      <c r="F58" s="32">
        <f>F59+F60</f>
        <v>0</v>
      </c>
      <c r="G58" s="32">
        <f>G59+G60</f>
        <v>17441.1</v>
      </c>
      <c r="H58" s="33"/>
      <c r="I58" s="33"/>
      <c r="J58" s="33"/>
      <c r="K58" s="33">
        <f>K59+K60</f>
        <v>308509.1</v>
      </c>
    </row>
    <row r="59" spans="1:11" ht="22.5">
      <c r="A59" s="29" t="s">
        <v>73</v>
      </c>
      <c r="B59" s="30" t="s">
        <v>74</v>
      </c>
      <c r="C59" s="11"/>
      <c r="D59" s="11"/>
      <c r="E59" s="32">
        <v>291068</v>
      </c>
      <c r="F59" s="11"/>
      <c r="G59" s="11"/>
      <c r="H59" s="18"/>
      <c r="I59" s="18"/>
      <c r="J59" s="18"/>
      <c r="K59" s="23">
        <f>E59+F59</f>
        <v>291068</v>
      </c>
    </row>
    <row r="60" spans="1:11" ht="12.75">
      <c r="A60" s="29" t="s">
        <v>75</v>
      </c>
      <c r="B60" s="34" t="s">
        <v>76</v>
      </c>
      <c r="C60" s="35"/>
      <c r="D60" s="35"/>
      <c r="E60" s="32"/>
      <c r="F60" s="11"/>
      <c r="G60" s="11">
        <v>17441.1</v>
      </c>
      <c r="H60" s="18"/>
      <c r="I60" s="18"/>
      <c r="J60" s="18"/>
      <c r="K60" s="18">
        <f>G60</f>
        <v>17441.1</v>
      </c>
    </row>
    <row r="61" spans="1:11" s="10" customFormat="1" ht="22.5">
      <c r="A61" s="36" t="s">
        <v>77</v>
      </c>
      <c r="B61" s="26" t="s">
        <v>78</v>
      </c>
      <c r="C61" s="6"/>
      <c r="D61" s="6"/>
      <c r="E61" s="37"/>
      <c r="F61" s="38">
        <f>F64+F74</f>
        <v>0</v>
      </c>
      <c r="G61" s="38">
        <f>G64+G74+G65+G73</f>
        <v>7931</v>
      </c>
      <c r="H61" s="39">
        <f>H64+H74+H65+H73+H68+H69+H70+H71+H72+H67</f>
        <v>11677.92</v>
      </c>
      <c r="I61" s="39">
        <f>I64+I74+I65+I73+I68+I69+I70+I71+I72+I67+I62+I66+I63</f>
        <v>14597</v>
      </c>
      <c r="J61" s="39">
        <f>J64+J74+J65+J73+J68+J69+J70+J71+J72+J67+J62+J66+J63</f>
        <v>2583.508</v>
      </c>
      <c r="K61" s="39">
        <f>K64+K74+K65+K73+K68+K69+K70+K71+K72+K67+K62+K66+K63</f>
        <v>36789.428</v>
      </c>
    </row>
    <row r="62" spans="1:11" ht="22.5">
      <c r="A62" s="29" t="s">
        <v>475</v>
      </c>
      <c r="B62" s="51" t="s">
        <v>476</v>
      </c>
      <c r="C62" s="11"/>
      <c r="D62" s="11"/>
      <c r="E62" s="40"/>
      <c r="F62" s="41"/>
      <c r="G62" s="41"/>
      <c r="H62" s="21"/>
      <c r="I62" s="21">
        <v>7000</v>
      </c>
      <c r="J62" s="21"/>
      <c r="K62" s="21">
        <f>I62</f>
        <v>7000</v>
      </c>
    </row>
    <row r="63" spans="1:11" ht="22.5">
      <c r="A63" s="29" t="s">
        <v>496</v>
      </c>
      <c r="B63" s="51" t="s">
        <v>497</v>
      </c>
      <c r="C63" s="11"/>
      <c r="D63" s="11"/>
      <c r="E63" s="40"/>
      <c r="F63" s="41"/>
      <c r="G63" s="41"/>
      <c r="H63" s="21"/>
      <c r="I63" s="21">
        <v>4000</v>
      </c>
      <c r="J63" s="21"/>
      <c r="K63" s="21">
        <f>I63</f>
        <v>4000</v>
      </c>
    </row>
    <row r="64" spans="1:11" ht="22.5">
      <c r="A64" s="29" t="s">
        <v>79</v>
      </c>
      <c r="B64" s="30" t="s">
        <v>80</v>
      </c>
      <c r="C64" s="11"/>
      <c r="D64" s="11"/>
      <c r="E64" s="40"/>
      <c r="F64" s="41"/>
      <c r="G64" s="41">
        <v>4739</v>
      </c>
      <c r="H64" s="21">
        <v>-474.04</v>
      </c>
      <c r="I64" s="21"/>
      <c r="J64" s="21">
        <v>2433.508</v>
      </c>
      <c r="K64" s="21">
        <f>G64+H64+J64</f>
        <v>6698.468</v>
      </c>
    </row>
    <row r="65" spans="1:11" ht="22.5">
      <c r="A65" s="29" t="s">
        <v>81</v>
      </c>
      <c r="B65" s="30" t="s">
        <v>82</v>
      </c>
      <c r="C65" s="11"/>
      <c r="D65" s="11"/>
      <c r="E65" s="40"/>
      <c r="F65" s="41"/>
      <c r="G65" s="41">
        <v>3042</v>
      </c>
      <c r="H65" s="21"/>
      <c r="I65" s="21"/>
      <c r="J65" s="21"/>
      <c r="K65" s="21">
        <f>G65</f>
        <v>3042</v>
      </c>
    </row>
    <row r="66" spans="1:11" ht="33.75">
      <c r="A66" s="29" t="s">
        <v>477</v>
      </c>
      <c r="B66" s="30" t="s">
        <v>478</v>
      </c>
      <c r="C66" s="11"/>
      <c r="D66" s="11"/>
      <c r="E66" s="40"/>
      <c r="F66" s="41"/>
      <c r="G66" s="41"/>
      <c r="H66" s="21"/>
      <c r="I66" s="21">
        <v>3347</v>
      </c>
      <c r="J66" s="21"/>
      <c r="K66" s="21">
        <f>I66</f>
        <v>3347</v>
      </c>
    </row>
    <row r="67" spans="1:11" ht="22.5">
      <c r="A67" s="29" t="s">
        <v>473</v>
      </c>
      <c r="B67" s="30" t="s">
        <v>474</v>
      </c>
      <c r="C67" s="11"/>
      <c r="D67" s="11"/>
      <c r="E67" s="40"/>
      <c r="F67" s="41"/>
      <c r="G67" s="41"/>
      <c r="H67" s="21"/>
      <c r="I67" s="21">
        <v>250</v>
      </c>
      <c r="J67" s="21"/>
      <c r="K67" s="21">
        <f>I67</f>
        <v>250</v>
      </c>
    </row>
    <row r="68" spans="1:11" ht="22.5">
      <c r="A68" s="29" t="s">
        <v>83</v>
      </c>
      <c r="B68" s="30" t="s">
        <v>84</v>
      </c>
      <c r="C68" s="11"/>
      <c r="D68" s="11"/>
      <c r="E68" s="40"/>
      <c r="F68" s="41"/>
      <c r="G68" s="41"/>
      <c r="H68" s="21">
        <v>1100</v>
      </c>
      <c r="I68" s="21"/>
      <c r="J68" s="21"/>
      <c r="K68" s="21">
        <f>H68</f>
        <v>1100</v>
      </c>
    </row>
    <row r="69" spans="1:11" ht="12.75">
      <c r="A69" s="29" t="s">
        <v>85</v>
      </c>
      <c r="B69" s="30" t="s">
        <v>86</v>
      </c>
      <c r="C69" s="11"/>
      <c r="D69" s="11"/>
      <c r="E69" s="40"/>
      <c r="F69" s="41"/>
      <c r="G69" s="41"/>
      <c r="H69" s="21">
        <f>6032.36</f>
        <v>6032.36</v>
      </c>
      <c r="I69" s="21"/>
      <c r="J69" s="21"/>
      <c r="K69" s="21">
        <f>H69</f>
        <v>6032.36</v>
      </c>
    </row>
    <row r="70" spans="1:11" ht="22.5">
      <c r="A70" s="29" t="s">
        <v>87</v>
      </c>
      <c r="B70" s="30" t="s">
        <v>88</v>
      </c>
      <c r="C70" s="11"/>
      <c r="D70" s="11"/>
      <c r="E70" s="40"/>
      <c r="F70" s="41"/>
      <c r="G70" s="41"/>
      <c r="H70" s="21">
        <v>738</v>
      </c>
      <c r="I70" s="21"/>
      <c r="J70" s="21"/>
      <c r="K70" s="21">
        <f>H70</f>
        <v>738</v>
      </c>
    </row>
    <row r="71" spans="1:11" ht="22.5">
      <c r="A71" s="29" t="s">
        <v>89</v>
      </c>
      <c r="B71" s="30" t="s">
        <v>90</v>
      </c>
      <c r="C71" s="11"/>
      <c r="D71" s="11"/>
      <c r="E71" s="40"/>
      <c r="F71" s="41"/>
      <c r="G71" s="41"/>
      <c r="H71" s="21">
        <v>3510</v>
      </c>
      <c r="I71" s="21"/>
      <c r="J71" s="21"/>
      <c r="K71" s="21">
        <f>H71</f>
        <v>3510</v>
      </c>
    </row>
    <row r="72" spans="1:11" ht="12.75">
      <c r="A72" s="29" t="s">
        <v>91</v>
      </c>
      <c r="B72" s="30" t="s">
        <v>92</v>
      </c>
      <c r="C72" s="11"/>
      <c r="D72" s="11"/>
      <c r="E72" s="40"/>
      <c r="F72" s="41"/>
      <c r="G72" s="41"/>
      <c r="H72" s="21">
        <v>771.6</v>
      </c>
      <c r="I72" s="21"/>
      <c r="J72" s="21"/>
      <c r="K72" s="21">
        <f>H72</f>
        <v>771.6</v>
      </c>
    </row>
    <row r="73" spans="1:11" ht="12.75">
      <c r="A73" s="29" t="s">
        <v>93</v>
      </c>
      <c r="B73" s="30" t="s">
        <v>94</v>
      </c>
      <c r="C73" s="11"/>
      <c r="D73" s="11"/>
      <c r="E73" s="40"/>
      <c r="F73" s="41"/>
      <c r="G73" s="41">
        <v>150</v>
      </c>
      <c r="H73" s="21"/>
      <c r="I73" s="21"/>
      <c r="J73" s="21">
        <v>150</v>
      </c>
      <c r="K73" s="21">
        <f>G73+J73</f>
        <v>300</v>
      </c>
    </row>
    <row r="74" spans="1:11" ht="22.5">
      <c r="A74" s="29" t="s">
        <v>95</v>
      </c>
      <c r="B74" s="30" t="s">
        <v>96</v>
      </c>
      <c r="C74" s="11"/>
      <c r="D74" s="11"/>
      <c r="E74" s="40"/>
      <c r="F74" s="41"/>
      <c r="G74" s="41"/>
      <c r="H74" s="21"/>
      <c r="I74" s="21"/>
      <c r="J74" s="21"/>
      <c r="K74" s="21">
        <f>G74</f>
        <v>0</v>
      </c>
    </row>
    <row r="75" spans="1:11" s="10" customFormat="1" ht="22.5">
      <c r="A75" s="36" t="s">
        <v>97</v>
      </c>
      <c r="B75" s="42" t="s">
        <v>98</v>
      </c>
      <c r="C75" s="6"/>
      <c r="D75" s="6"/>
      <c r="E75" s="43">
        <f>E76+E77+E78+E79+E81+E82+E83+E84+E85+E86+E87+E88+E89+E90+E91+E92+E93+E94+E95+E96+E97+E98+E99+E100+E101+E102+E103+E110</f>
        <v>758025.125</v>
      </c>
      <c r="F75" s="43">
        <f>F76+F77+F78+F79+F81+F82+F83+F84+F85+F86+F87+F88+F89+F90+F91+F92+F93+F94+F95+F96+F97+F98+F99+F100+F101+F102+F103+F110</f>
        <v>8241</v>
      </c>
      <c r="G75" s="43">
        <f>G76+G77+G78+G79+G81+G82+G83+G84+G85+G86+G87+G88+G89+G90+G91+G92+G93+G94+G95+G96+G97+G98+G99+G100+G101+G102+G103+G110+G80</f>
        <v>759</v>
      </c>
      <c r="H75" s="44">
        <f>H76+H77+H78+H79+H81+H82+H83+H84+H85+H86+H87+H88+H89+H90+H91+H92+H93+H94+H95+H96+H97+H98+H99+H100+H101+H102+H103+H110+H80</f>
        <v>-65249.644</v>
      </c>
      <c r="I75" s="44">
        <f>I76+I77+I78+I79+I81+I82+I83+I84+I85+I86+I87+I88+I89+I90+I91+I92+I93+I94+I95+I96+I97+I98+I99+I100+I101+I102+I103+I110+I80</f>
        <v>5074.406</v>
      </c>
      <c r="J75" s="44">
        <f>J76+J77+J78+J79+J81+J82+J83+J84+J85+J86+J87+J88+J89+J90+J91+J92+J93+J94+J95+J96+J97+J98+J99+J100+J101+J102+J103+J110+J80</f>
        <v>0</v>
      </c>
      <c r="K75" s="44">
        <f>K76+K77+K78+K79+K81+K82+K83+K84+K85+K86+K87+K88+K89+K90+K91+K92+K93+K94+K95+K96+K97+K98+K99+K100+K101+K102+K103+K110+K80</f>
        <v>706849.887</v>
      </c>
    </row>
    <row r="76" spans="1:11" ht="46.5" customHeight="1">
      <c r="A76" s="29" t="s">
        <v>99</v>
      </c>
      <c r="B76" s="30" t="s">
        <v>100</v>
      </c>
      <c r="C76" s="11"/>
      <c r="D76" s="11"/>
      <c r="E76" s="33">
        <v>279.234</v>
      </c>
      <c r="F76" s="11"/>
      <c r="G76" s="11"/>
      <c r="H76" s="18"/>
      <c r="I76" s="18"/>
      <c r="J76" s="18"/>
      <c r="K76" s="23">
        <f>E76+F76</f>
        <v>279.234</v>
      </c>
    </row>
    <row r="77" spans="1:11" ht="22.5">
      <c r="A77" s="29" t="s">
        <v>101</v>
      </c>
      <c r="B77" s="30" t="s">
        <v>102</v>
      </c>
      <c r="C77" s="11"/>
      <c r="D77" s="11"/>
      <c r="E77" s="33">
        <v>200</v>
      </c>
      <c r="F77" s="11"/>
      <c r="G77" s="11"/>
      <c r="H77" s="18"/>
      <c r="I77" s="18"/>
      <c r="J77" s="18"/>
      <c r="K77" s="23">
        <f aca="true" t="shared" si="4" ref="K77:K110">E77+F77</f>
        <v>200</v>
      </c>
    </row>
    <row r="78" spans="1:11" ht="22.5">
      <c r="A78" s="29" t="s">
        <v>103</v>
      </c>
      <c r="B78" s="30" t="s">
        <v>104</v>
      </c>
      <c r="C78" s="11"/>
      <c r="D78" s="11"/>
      <c r="E78" s="33">
        <v>1820.016</v>
      </c>
      <c r="F78" s="11"/>
      <c r="G78" s="11"/>
      <c r="H78" s="18">
        <v>292.33</v>
      </c>
      <c r="I78" s="18"/>
      <c r="J78" s="18"/>
      <c r="K78" s="23">
        <f>E78+F78+H78</f>
        <v>2112.346</v>
      </c>
    </row>
    <row r="79" spans="1:11" ht="22.5">
      <c r="A79" s="29" t="s">
        <v>105</v>
      </c>
      <c r="B79" s="30" t="s">
        <v>106</v>
      </c>
      <c r="C79" s="11"/>
      <c r="D79" s="11"/>
      <c r="E79" s="45">
        <v>810</v>
      </c>
      <c r="F79" s="11"/>
      <c r="G79" s="11"/>
      <c r="H79" s="18"/>
      <c r="I79" s="18"/>
      <c r="J79" s="18"/>
      <c r="K79" s="23">
        <f t="shared" si="4"/>
        <v>810</v>
      </c>
    </row>
    <row r="80" spans="1:11" ht="22.5">
      <c r="A80" s="29" t="s">
        <v>107</v>
      </c>
      <c r="B80" s="30" t="s">
        <v>108</v>
      </c>
      <c r="C80" s="11"/>
      <c r="D80" s="11"/>
      <c r="E80" s="33"/>
      <c r="F80" s="11"/>
      <c r="G80" s="11">
        <v>9000</v>
      </c>
      <c r="H80" s="18"/>
      <c r="I80" s="18"/>
      <c r="J80" s="18"/>
      <c r="K80" s="23">
        <f>G80</f>
        <v>9000</v>
      </c>
    </row>
    <row r="81" spans="1:11" ht="22.5">
      <c r="A81" s="29" t="s">
        <v>109</v>
      </c>
      <c r="B81" s="30" t="s">
        <v>110</v>
      </c>
      <c r="C81" s="11"/>
      <c r="D81" s="11"/>
      <c r="E81" s="33">
        <v>21262</v>
      </c>
      <c r="F81" s="11"/>
      <c r="G81" s="11"/>
      <c r="H81" s="21">
        <v>-9567</v>
      </c>
      <c r="I81" s="21"/>
      <c r="J81" s="21"/>
      <c r="K81" s="23">
        <f>E81+F81+H81</f>
        <v>11695</v>
      </c>
    </row>
    <row r="82" spans="1:11" ht="33.75">
      <c r="A82" s="29" t="s">
        <v>111</v>
      </c>
      <c r="B82" s="30" t="s">
        <v>112</v>
      </c>
      <c r="C82" s="46"/>
      <c r="D82" s="46"/>
      <c r="E82" s="33">
        <v>86061</v>
      </c>
      <c r="F82" s="11"/>
      <c r="G82" s="11"/>
      <c r="H82" s="18"/>
      <c r="I82" s="18"/>
      <c r="J82" s="18"/>
      <c r="K82" s="23">
        <f t="shared" si="4"/>
        <v>86061</v>
      </c>
    </row>
    <row r="83" spans="1:11" ht="22.5">
      <c r="A83" s="29" t="s">
        <v>113</v>
      </c>
      <c r="B83" s="47" t="s">
        <v>114</v>
      </c>
      <c r="C83" s="46"/>
      <c r="D83" s="46"/>
      <c r="E83" s="33">
        <v>30643</v>
      </c>
      <c r="F83" s="11"/>
      <c r="G83" s="11"/>
      <c r="H83" s="18"/>
      <c r="I83" s="18"/>
      <c r="J83" s="18"/>
      <c r="K83" s="23">
        <f t="shared" si="4"/>
        <v>30643</v>
      </c>
    </row>
    <row r="84" spans="1:11" ht="22.5">
      <c r="A84" s="29" t="s">
        <v>115</v>
      </c>
      <c r="B84" s="30" t="s">
        <v>116</v>
      </c>
      <c r="C84" s="46"/>
      <c r="D84" s="46"/>
      <c r="E84" s="33">
        <v>1206</v>
      </c>
      <c r="F84" s="11"/>
      <c r="G84" s="11"/>
      <c r="H84" s="18"/>
      <c r="I84" s="18"/>
      <c r="J84" s="18"/>
      <c r="K84" s="23">
        <f t="shared" si="4"/>
        <v>1206</v>
      </c>
    </row>
    <row r="85" spans="1:11" ht="22.5">
      <c r="A85" s="29" t="s">
        <v>117</v>
      </c>
      <c r="B85" s="48" t="s">
        <v>118</v>
      </c>
      <c r="C85" s="11"/>
      <c r="D85" s="11"/>
      <c r="E85" s="33">
        <v>72385</v>
      </c>
      <c r="F85" s="11"/>
      <c r="G85" s="11"/>
      <c r="H85" s="18"/>
      <c r="I85" s="18"/>
      <c r="J85" s="18"/>
      <c r="K85" s="23">
        <f t="shared" si="4"/>
        <v>72385</v>
      </c>
    </row>
    <row r="86" spans="1:11" ht="33.75">
      <c r="A86" s="29" t="s">
        <v>119</v>
      </c>
      <c r="B86" s="48" t="s">
        <v>120</v>
      </c>
      <c r="C86" s="11"/>
      <c r="D86" s="11"/>
      <c r="E86" s="33">
        <v>506</v>
      </c>
      <c r="F86" s="11"/>
      <c r="G86" s="11"/>
      <c r="H86" s="18"/>
      <c r="I86" s="18"/>
      <c r="J86" s="18"/>
      <c r="K86" s="23">
        <f t="shared" si="4"/>
        <v>506</v>
      </c>
    </row>
    <row r="87" spans="1:11" ht="22.5">
      <c r="A87" s="29" t="s">
        <v>121</v>
      </c>
      <c r="B87" s="48" t="s">
        <v>122</v>
      </c>
      <c r="C87" s="11"/>
      <c r="D87" s="11"/>
      <c r="E87" s="33">
        <v>51.375</v>
      </c>
      <c r="F87" s="11"/>
      <c r="G87" s="11"/>
      <c r="H87" s="18"/>
      <c r="I87" s="18"/>
      <c r="J87" s="18"/>
      <c r="K87" s="23">
        <f t="shared" si="4"/>
        <v>51.375</v>
      </c>
    </row>
    <row r="88" spans="1:11" ht="22.5">
      <c r="A88" s="29" t="s">
        <v>123</v>
      </c>
      <c r="B88" s="48" t="s">
        <v>124</v>
      </c>
      <c r="C88" s="11"/>
      <c r="D88" s="11"/>
      <c r="E88" s="33">
        <v>982.7</v>
      </c>
      <c r="F88" s="11"/>
      <c r="G88" s="11"/>
      <c r="H88" s="18"/>
      <c r="I88" s="18"/>
      <c r="J88" s="18"/>
      <c r="K88" s="23">
        <f t="shared" si="4"/>
        <v>982.7</v>
      </c>
    </row>
    <row r="89" spans="1:11" ht="22.5">
      <c r="A89" s="29" t="s">
        <v>125</v>
      </c>
      <c r="B89" s="48" t="s">
        <v>126</v>
      </c>
      <c r="C89" s="11"/>
      <c r="D89" s="11"/>
      <c r="E89" s="33">
        <v>1248</v>
      </c>
      <c r="F89" s="11"/>
      <c r="G89" s="11"/>
      <c r="H89" s="18"/>
      <c r="I89" s="18"/>
      <c r="J89" s="18"/>
      <c r="K89" s="23">
        <f t="shared" si="4"/>
        <v>1248</v>
      </c>
    </row>
    <row r="90" spans="1:11" ht="12.75">
      <c r="A90" s="29" t="s">
        <v>127</v>
      </c>
      <c r="B90" s="48" t="s">
        <v>128</v>
      </c>
      <c r="C90" s="11"/>
      <c r="D90" s="11"/>
      <c r="E90" s="33">
        <v>350649</v>
      </c>
      <c r="F90" s="11"/>
      <c r="G90" s="11"/>
      <c r="H90" s="18">
        <v>-51130.3</v>
      </c>
      <c r="I90" s="18"/>
      <c r="J90" s="18"/>
      <c r="K90" s="23">
        <f>E90+F90+H90</f>
        <v>299518.7</v>
      </c>
    </row>
    <row r="91" spans="1:11" ht="22.5">
      <c r="A91" s="29" t="s">
        <v>129</v>
      </c>
      <c r="B91" s="48" t="s">
        <v>130</v>
      </c>
      <c r="C91" s="11"/>
      <c r="D91" s="11"/>
      <c r="E91" s="33">
        <v>99841</v>
      </c>
      <c r="F91" s="11"/>
      <c r="G91" s="11"/>
      <c r="H91" s="18"/>
      <c r="I91" s="18"/>
      <c r="J91" s="18"/>
      <c r="K91" s="23">
        <f t="shared" si="4"/>
        <v>99841</v>
      </c>
    </row>
    <row r="92" spans="1:11" ht="22.5">
      <c r="A92" s="29" t="s">
        <v>131</v>
      </c>
      <c r="B92" s="48" t="s">
        <v>132</v>
      </c>
      <c r="C92" s="11"/>
      <c r="D92" s="11"/>
      <c r="E92" s="33">
        <v>651</v>
      </c>
      <c r="F92" s="11"/>
      <c r="G92" s="11"/>
      <c r="H92" s="18"/>
      <c r="I92" s="18"/>
      <c r="J92" s="18"/>
      <c r="K92" s="23">
        <f t="shared" si="4"/>
        <v>651</v>
      </c>
    </row>
    <row r="93" spans="1:11" ht="22.5">
      <c r="A93" s="29" t="s">
        <v>133</v>
      </c>
      <c r="B93" s="48" t="s">
        <v>134</v>
      </c>
      <c r="C93" s="11"/>
      <c r="D93" s="11"/>
      <c r="E93" s="33">
        <v>9150</v>
      </c>
      <c r="F93" s="11"/>
      <c r="G93" s="11"/>
      <c r="H93" s="18"/>
      <c r="I93" s="18"/>
      <c r="J93" s="18"/>
      <c r="K93" s="23">
        <f t="shared" si="4"/>
        <v>9150</v>
      </c>
    </row>
    <row r="94" spans="1:11" ht="12.75">
      <c r="A94" s="29" t="s">
        <v>135</v>
      </c>
      <c r="B94" s="48" t="s">
        <v>136</v>
      </c>
      <c r="C94" s="11"/>
      <c r="D94" s="11"/>
      <c r="E94" s="33">
        <v>17776</v>
      </c>
      <c r="F94" s="11"/>
      <c r="G94" s="11"/>
      <c r="H94" s="18"/>
      <c r="I94" s="18"/>
      <c r="J94" s="18"/>
      <c r="K94" s="23">
        <f t="shared" si="4"/>
        <v>17776</v>
      </c>
    </row>
    <row r="95" spans="1:11" ht="33.75">
      <c r="A95" s="29" t="s">
        <v>137</v>
      </c>
      <c r="B95" s="49" t="s">
        <v>138</v>
      </c>
      <c r="C95" s="11"/>
      <c r="D95" s="11"/>
      <c r="E95" s="33">
        <v>11.9</v>
      </c>
      <c r="F95" s="11"/>
      <c r="G95" s="11"/>
      <c r="H95" s="18"/>
      <c r="I95" s="18"/>
      <c r="J95" s="18"/>
      <c r="K95" s="23">
        <f t="shared" si="4"/>
        <v>11.9</v>
      </c>
    </row>
    <row r="96" spans="1:11" ht="22.5">
      <c r="A96" s="29" t="s">
        <v>139</v>
      </c>
      <c r="B96" s="48" t="s">
        <v>140</v>
      </c>
      <c r="C96" s="11"/>
      <c r="D96" s="11"/>
      <c r="E96" s="33">
        <v>749.9</v>
      </c>
      <c r="F96" s="11"/>
      <c r="G96" s="11"/>
      <c r="H96" s="18"/>
      <c r="I96" s="18"/>
      <c r="J96" s="18"/>
      <c r="K96" s="23">
        <f t="shared" si="4"/>
        <v>749.9</v>
      </c>
    </row>
    <row r="97" spans="1:11" ht="12.75">
      <c r="A97" s="29" t="s">
        <v>141</v>
      </c>
      <c r="B97" s="48" t="s">
        <v>142</v>
      </c>
      <c r="C97" s="11"/>
      <c r="D97" s="11"/>
      <c r="E97" s="33">
        <v>580</v>
      </c>
      <c r="F97" s="11"/>
      <c r="G97" s="11"/>
      <c r="H97" s="18"/>
      <c r="I97" s="18"/>
      <c r="J97" s="18"/>
      <c r="K97" s="23">
        <f t="shared" si="4"/>
        <v>580</v>
      </c>
    </row>
    <row r="98" spans="1:11" ht="22.5">
      <c r="A98" s="29" t="s">
        <v>143</v>
      </c>
      <c r="B98" s="48" t="s">
        <v>144</v>
      </c>
      <c r="C98" s="11"/>
      <c r="D98" s="11"/>
      <c r="E98" s="33">
        <v>4679</v>
      </c>
      <c r="F98" s="11"/>
      <c r="G98" s="11"/>
      <c r="H98" s="18"/>
      <c r="I98" s="18"/>
      <c r="J98" s="18"/>
      <c r="K98" s="23">
        <f t="shared" si="4"/>
        <v>4679</v>
      </c>
    </row>
    <row r="99" spans="1:11" ht="33.75">
      <c r="A99" s="29" t="s">
        <v>145</v>
      </c>
      <c r="B99" s="48" t="s">
        <v>146</v>
      </c>
      <c r="C99" s="11"/>
      <c r="D99" s="11"/>
      <c r="E99" s="33">
        <v>2319</v>
      </c>
      <c r="F99" s="11"/>
      <c r="G99" s="11"/>
      <c r="H99" s="18"/>
      <c r="I99" s="18"/>
      <c r="J99" s="18"/>
      <c r="K99" s="23">
        <f t="shared" si="4"/>
        <v>2319</v>
      </c>
    </row>
    <row r="100" spans="1:11" ht="22.5">
      <c r="A100" s="29" t="s">
        <v>147</v>
      </c>
      <c r="B100" s="30" t="s">
        <v>148</v>
      </c>
      <c r="C100" s="11"/>
      <c r="D100" s="11"/>
      <c r="E100" s="33">
        <v>8580</v>
      </c>
      <c r="F100" s="11">
        <v>8241</v>
      </c>
      <c r="G100" s="11">
        <v>-8241</v>
      </c>
      <c r="H100" s="18">
        <v>-4844.674</v>
      </c>
      <c r="I100" s="18">
        <v>5074.406</v>
      </c>
      <c r="J100" s="18"/>
      <c r="K100" s="23">
        <f>E100+F100+G100+H100+I100</f>
        <v>8809.732</v>
      </c>
    </row>
    <row r="101" spans="1:11" ht="22.5">
      <c r="A101" s="29" t="s">
        <v>149</v>
      </c>
      <c r="B101" s="30" t="s">
        <v>150</v>
      </c>
      <c r="C101" s="11"/>
      <c r="D101" s="11"/>
      <c r="E101" s="45">
        <v>25552</v>
      </c>
      <c r="F101" s="11"/>
      <c r="G101" s="11"/>
      <c r="H101" s="18"/>
      <c r="I101" s="18"/>
      <c r="J101" s="18"/>
      <c r="K101" s="23">
        <f t="shared" si="4"/>
        <v>25552</v>
      </c>
    </row>
    <row r="102" spans="1:11" ht="33.75">
      <c r="A102" s="29" t="s">
        <v>151</v>
      </c>
      <c r="B102" s="30" t="s">
        <v>152</v>
      </c>
      <c r="C102" s="11"/>
      <c r="D102" s="11"/>
      <c r="E102" s="33">
        <v>12034</v>
      </c>
      <c r="F102" s="11"/>
      <c r="G102" s="11"/>
      <c r="H102" s="18"/>
      <c r="I102" s="18"/>
      <c r="J102" s="18"/>
      <c r="K102" s="23">
        <f t="shared" si="4"/>
        <v>12034</v>
      </c>
    </row>
    <row r="103" spans="1:11" ht="33.75">
      <c r="A103" s="29" t="s">
        <v>153</v>
      </c>
      <c r="B103" s="50" t="s">
        <v>154</v>
      </c>
      <c r="C103" s="11"/>
      <c r="D103" s="11"/>
      <c r="E103" s="33">
        <v>6894</v>
      </c>
      <c r="F103" s="11"/>
      <c r="G103" s="11"/>
      <c r="H103" s="18"/>
      <c r="I103" s="18"/>
      <c r="J103" s="18"/>
      <c r="K103" s="23">
        <f t="shared" si="4"/>
        <v>6894</v>
      </c>
    </row>
    <row r="104" spans="1:11" ht="33.75" hidden="1">
      <c r="A104" s="29" t="s">
        <v>155</v>
      </c>
      <c r="B104" s="50" t="s">
        <v>154</v>
      </c>
      <c r="C104" s="11"/>
      <c r="D104" s="11"/>
      <c r="E104" s="32">
        <f>E105+E106+E107+E108+E109</f>
        <v>0</v>
      </c>
      <c r="F104" s="11"/>
      <c r="G104" s="11"/>
      <c r="H104" s="18"/>
      <c r="I104" s="18"/>
      <c r="J104" s="18"/>
      <c r="K104" s="23">
        <f t="shared" si="4"/>
        <v>0</v>
      </c>
    </row>
    <row r="105" spans="1:11" ht="33.75" hidden="1">
      <c r="A105" s="29" t="s">
        <v>156</v>
      </c>
      <c r="B105" s="50" t="s">
        <v>154</v>
      </c>
      <c r="C105" s="11"/>
      <c r="D105" s="11"/>
      <c r="E105" s="32"/>
      <c r="F105" s="11"/>
      <c r="G105" s="11"/>
      <c r="H105" s="18"/>
      <c r="I105" s="18"/>
      <c r="J105" s="18"/>
      <c r="K105" s="23">
        <f t="shared" si="4"/>
        <v>0</v>
      </c>
    </row>
    <row r="106" spans="1:11" ht="33.75" hidden="1">
      <c r="A106" s="29" t="s">
        <v>157</v>
      </c>
      <c r="B106" s="50" t="s">
        <v>154</v>
      </c>
      <c r="C106" s="11"/>
      <c r="D106" s="11"/>
      <c r="E106" s="32"/>
      <c r="F106" s="11"/>
      <c r="G106" s="11"/>
      <c r="H106" s="18"/>
      <c r="I106" s="18"/>
      <c r="J106" s="18"/>
      <c r="K106" s="23">
        <f t="shared" si="4"/>
        <v>0</v>
      </c>
    </row>
    <row r="107" spans="1:11" ht="33.75" hidden="1">
      <c r="A107" s="29" t="s">
        <v>158</v>
      </c>
      <c r="B107" s="50" t="s">
        <v>154</v>
      </c>
      <c r="C107" s="11"/>
      <c r="D107" s="11"/>
      <c r="E107" s="32"/>
      <c r="F107" s="11"/>
      <c r="G107" s="11"/>
      <c r="H107" s="18"/>
      <c r="I107" s="18"/>
      <c r="J107" s="18"/>
      <c r="K107" s="23">
        <f t="shared" si="4"/>
        <v>0</v>
      </c>
    </row>
    <row r="108" spans="1:11" ht="33.75" hidden="1">
      <c r="A108" s="29" t="s">
        <v>159</v>
      </c>
      <c r="B108" s="50" t="s">
        <v>154</v>
      </c>
      <c r="C108" s="11"/>
      <c r="D108" s="11"/>
      <c r="E108" s="32"/>
      <c r="F108" s="11"/>
      <c r="G108" s="11"/>
      <c r="H108" s="18"/>
      <c r="I108" s="18"/>
      <c r="J108" s="18"/>
      <c r="K108" s="23">
        <f t="shared" si="4"/>
        <v>0</v>
      </c>
    </row>
    <row r="109" spans="1:11" ht="33.75" hidden="1">
      <c r="A109" s="29" t="s">
        <v>160</v>
      </c>
      <c r="B109" s="50" t="s">
        <v>154</v>
      </c>
      <c r="C109" s="11"/>
      <c r="D109" s="11"/>
      <c r="E109" s="32"/>
      <c r="F109" s="11"/>
      <c r="G109" s="11"/>
      <c r="H109" s="18"/>
      <c r="I109" s="18"/>
      <c r="J109" s="18"/>
      <c r="K109" s="23">
        <f t="shared" si="4"/>
        <v>0</v>
      </c>
    </row>
    <row r="110" spans="1:11" ht="33.75">
      <c r="A110" s="29" t="s">
        <v>161</v>
      </c>
      <c r="B110" s="50" t="s">
        <v>162</v>
      </c>
      <c r="C110" s="11"/>
      <c r="D110" s="11"/>
      <c r="E110" s="32">
        <v>1104</v>
      </c>
      <c r="F110" s="11"/>
      <c r="G110" s="11"/>
      <c r="H110" s="18"/>
      <c r="I110" s="18"/>
      <c r="J110" s="18"/>
      <c r="K110" s="23">
        <f t="shared" si="4"/>
        <v>1104</v>
      </c>
    </row>
    <row r="111" spans="1:11" ht="12.75">
      <c r="A111" s="29" t="s">
        <v>163</v>
      </c>
      <c r="B111" s="26" t="s">
        <v>164</v>
      </c>
      <c r="C111" s="11"/>
      <c r="D111" s="11"/>
      <c r="E111" s="43">
        <f>E113</f>
        <v>0</v>
      </c>
      <c r="F111" s="43">
        <f>F113+F112</f>
        <v>16217.419999999998</v>
      </c>
      <c r="G111" s="43">
        <f>G113+G112</f>
        <v>3087.4</v>
      </c>
      <c r="H111" s="44">
        <f>SUM(H112:H115)</f>
        <v>294.056</v>
      </c>
      <c r="I111" s="44">
        <f>SUM(I112:I117)</f>
        <v>21282.96</v>
      </c>
      <c r="J111" s="107">
        <f>SUM(J112:J117)</f>
        <v>313.08115</v>
      </c>
      <c r="K111" s="44">
        <f>SUM(K112:K117)</f>
        <v>41194.91715</v>
      </c>
    </row>
    <row r="112" spans="1:11" ht="33.75">
      <c r="A112" s="29" t="s">
        <v>165</v>
      </c>
      <c r="B112" s="51" t="s">
        <v>166</v>
      </c>
      <c r="C112" s="11"/>
      <c r="D112" s="11"/>
      <c r="E112" s="43"/>
      <c r="F112" s="43"/>
      <c r="G112" s="32">
        <v>2129.4</v>
      </c>
      <c r="H112" s="33"/>
      <c r="I112" s="33"/>
      <c r="J112" s="33"/>
      <c r="K112" s="33">
        <f>G112</f>
        <v>2129.4</v>
      </c>
    </row>
    <row r="113" spans="1:11" ht="33.75">
      <c r="A113" s="29" t="s">
        <v>167</v>
      </c>
      <c r="B113" s="51" t="s">
        <v>168</v>
      </c>
      <c r="C113" s="11"/>
      <c r="D113" s="11"/>
      <c r="E113" s="32"/>
      <c r="F113" s="11">
        <f>500+822.6+300+2373.02+9644.8+2577</f>
        <v>16217.419999999998</v>
      </c>
      <c r="G113" s="52">
        <f>700+258</f>
        <v>958</v>
      </c>
      <c r="H113" s="53"/>
      <c r="I113" s="53"/>
      <c r="J113" s="53"/>
      <c r="K113" s="23">
        <f>E113+F113+G113</f>
        <v>17175.42</v>
      </c>
    </row>
    <row r="114" spans="1:11" ht="22.5">
      <c r="A114" s="29" t="s">
        <v>471</v>
      </c>
      <c r="B114" s="51" t="s">
        <v>472</v>
      </c>
      <c r="C114" s="11"/>
      <c r="D114" s="11"/>
      <c r="E114" s="32"/>
      <c r="F114" s="11"/>
      <c r="G114" s="52"/>
      <c r="H114" s="53"/>
      <c r="I114" s="53">
        <v>99.5</v>
      </c>
      <c r="J114" s="53"/>
      <c r="K114" s="23">
        <f>I114</f>
        <v>99.5</v>
      </c>
    </row>
    <row r="115" spans="1:11" ht="22.5">
      <c r="A115" s="29" t="s">
        <v>169</v>
      </c>
      <c r="B115" s="51" t="s">
        <v>170</v>
      </c>
      <c r="C115" s="11"/>
      <c r="D115" s="11"/>
      <c r="E115" s="32"/>
      <c r="F115" s="11"/>
      <c r="G115" s="52"/>
      <c r="H115" s="21">
        <v>294.056</v>
      </c>
      <c r="I115" s="21"/>
      <c r="J115" s="21"/>
      <c r="K115" s="23">
        <f>H115</f>
        <v>294.056</v>
      </c>
    </row>
    <row r="116" spans="1:11" ht="22.5">
      <c r="A116" s="29" t="s">
        <v>481</v>
      </c>
      <c r="B116" s="51" t="s">
        <v>482</v>
      </c>
      <c r="C116" s="11"/>
      <c r="D116" s="11"/>
      <c r="E116" s="32"/>
      <c r="F116" s="11"/>
      <c r="G116" s="52"/>
      <c r="H116" s="21"/>
      <c r="I116" s="21">
        <v>18064.66</v>
      </c>
      <c r="J116" s="21"/>
      <c r="K116" s="23">
        <f>I116</f>
        <v>18064.66</v>
      </c>
    </row>
    <row r="117" spans="1:11" ht="22.5">
      <c r="A117" s="29" t="s">
        <v>479</v>
      </c>
      <c r="B117" s="51" t="s">
        <v>480</v>
      </c>
      <c r="C117" s="11"/>
      <c r="D117" s="11"/>
      <c r="E117" s="32"/>
      <c r="F117" s="11"/>
      <c r="G117" s="52"/>
      <c r="H117" s="21"/>
      <c r="I117" s="21">
        <v>3118.8</v>
      </c>
      <c r="J117" s="21">
        <v>313.08115</v>
      </c>
      <c r="K117" s="23">
        <f>I117+J117</f>
        <v>3431.88115</v>
      </c>
    </row>
    <row r="118" spans="1:11" s="10" customFormat="1" ht="12.75">
      <c r="A118" s="6"/>
      <c r="B118" s="6" t="s">
        <v>171</v>
      </c>
      <c r="C118" s="6"/>
      <c r="D118" s="6"/>
      <c r="E118" s="27">
        <f aca="true" t="shared" si="5" ref="E118:K118">E21+E57</f>
        <v>1480716.625</v>
      </c>
      <c r="F118" s="27">
        <f t="shared" si="5"/>
        <v>25390.42</v>
      </c>
      <c r="G118" s="27">
        <f t="shared" si="5"/>
        <v>29218.5</v>
      </c>
      <c r="H118" s="28">
        <f t="shared" si="5"/>
        <v>-36670.648</v>
      </c>
      <c r="I118" s="28">
        <f t="shared" si="5"/>
        <v>49824.365999999995</v>
      </c>
      <c r="J118" s="54">
        <f t="shared" si="5"/>
        <v>11081.58915</v>
      </c>
      <c r="K118" s="54">
        <f t="shared" si="5"/>
        <v>1559560.8521500002</v>
      </c>
    </row>
    <row r="119" spans="1:5" ht="12.75">
      <c r="A119" s="1"/>
      <c r="B119" s="1"/>
      <c r="C119" s="1"/>
      <c r="D119" s="1"/>
      <c r="E119" s="1"/>
    </row>
    <row r="120" spans="1:10" ht="12.75">
      <c r="A120" s="1"/>
      <c r="B120" s="1"/>
      <c r="C120" s="1"/>
      <c r="D120" s="1"/>
      <c r="E120" s="1"/>
      <c r="G120" s="104"/>
      <c r="H120" s="105"/>
      <c r="I120" s="105"/>
      <c r="J120" s="105"/>
    </row>
    <row r="121" spans="1:10" ht="12.75">
      <c r="A121" s="200" t="s">
        <v>172</v>
      </c>
      <c r="B121" s="200"/>
      <c r="C121" s="1"/>
      <c r="D121" s="1"/>
      <c r="E121" s="1"/>
      <c r="G121" s="104"/>
      <c r="H121" s="105"/>
      <c r="I121" s="105"/>
      <c r="J121" s="105"/>
    </row>
    <row r="122" spans="1:16" s="102" customFormat="1" ht="12.75">
      <c r="A122" s="55" t="s">
        <v>173</v>
      </c>
      <c r="B122" s="55"/>
      <c r="C122" s="1"/>
      <c r="D122" s="1"/>
      <c r="E122" s="1"/>
      <c r="F122" s="72"/>
      <c r="G122" s="72"/>
      <c r="L122" s="72"/>
      <c r="M122" s="72"/>
      <c r="N122" s="72"/>
      <c r="O122" s="72"/>
      <c r="P122" s="72"/>
    </row>
    <row r="123" spans="1:16" s="102" customFormat="1" ht="12.75">
      <c r="A123" s="1"/>
      <c r="B123" s="1"/>
      <c r="C123" s="1"/>
      <c r="D123" s="1"/>
      <c r="E123" s="1"/>
      <c r="F123" s="72"/>
      <c r="G123" s="104"/>
      <c r="H123" s="105"/>
      <c r="I123" s="105"/>
      <c r="J123" s="105"/>
      <c r="L123" s="72"/>
      <c r="M123" s="72"/>
      <c r="N123" s="72"/>
      <c r="O123" s="72"/>
      <c r="P123" s="72"/>
    </row>
    <row r="124" spans="1:16" s="102" customFormat="1" ht="12.75">
      <c r="A124" s="1"/>
      <c r="B124" s="1"/>
      <c r="C124" s="1"/>
      <c r="D124" s="1"/>
      <c r="E124" s="1"/>
      <c r="F124" s="72"/>
      <c r="G124" s="72"/>
      <c r="L124" s="72"/>
      <c r="M124" s="72"/>
      <c r="N124" s="72"/>
      <c r="O124" s="72"/>
      <c r="P124" s="72"/>
    </row>
    <row r="125" spans="1:16" s="102" customFormat="1" ht="12.75">
      <c r="A125" s="1"/>
      <c r="B125" s="1"/>
      <c r="C125" s="1"/>
      <c r="D125" s="1"/>
      <c r="E125" s="1"/>
      <c r="F125" s="72"/>
      <c r="G125" s="72"/>
      <c r="L125" s="72"/>
      <c r="M125" s="72"/>
      <c r="N125" s="72"/>
      <c r="O125" s="72"/>
      <c r="P125" s="72"/>
    </row>
  </sheetData>
  <sheetProtection/>
  <mergeCells count="23">
    <mergeCell ref="B5:K5"/>
    <mergeCell ref="B7:K7"/>
    <mergeCell ref="B8:K8"/>
    <mergeCell ref="B1:K1"/>
    <mergeCell ref="B2:K2"/>
    <mergeCell ref="B3:K3"/>
    <mergeCell ref="B4:K4"/>
    <mergeCell ref="A121:B121"/>
    <mergeCell ref="I16:I19"/>
    <mergeCell ref="E15:K15"/>
    <mergeCell ref="A16:A19"/>
    <mergeCell ref="B16:B19"/>
    <mergeCell ref="C16:E19"/>
    <mergeCell ref="F16:F19"/>
    <mergeCell ref="G16:G19"/>
    <mergeCell ref="H16:H19"/>
    <mergeCell ref="K16:K19"/>
    <mergeCell ref="J16:J19"/>
    <mergeCell ref="B9:K9"/>
    <mergeCell ref="B10:K10"/>
    <mergeCell ref="B11:K11"/>
    <mergeCell ref="B12:K12"/>
    <mergeCell ref="A14:E14"/>
  </mergeCells>
  <printOptions/>
  <pageMargins left="0.6299212598425197" right="0.4330708661417323" top="0.53" bottom="0.56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4"/>
  <sheetViews>
    <sheetView view="pageBreakPreview" zoomScaleSheetLayoutView="100" zoomScalePageLayoutView="0" workbookViewId="0" topLeftCell="A1">
      <selection activeCell="R5" sqref="R5"/>
    </sheetView>
  </sheetViews>
  <sheetFormatPr defaultColWidth="9.00390625" defaultRowHeight="12.75"/>
  <cols>
    <col min="1" max="1" width="33.875" style="106" customWidth="1"/>
    <col min="2" max="2" width="5.125" style="106" customWidth="1"/>
    <col min="3" max="3" width="5.00390625" style="106" customWidth="1"/>
    <col min="4" max="4" width="3.75390625" style="106" customWidth="1"/>
    <col min="5" max="5" width="9.625" style="106" customWidth="1"/>
    <col min="6" max="6" width="4.75390625" style="106" customWidth="1"/>
    <col min="7" max="7" width="12.625" style="106" hidden="1" customWidth="1"/>
    <col min="8" max="8" width="10.875" style="106" hidden="1" customWidth="1"/>
    <col min="9" max="9" width="10.375" style="106" hidden="1" customWidth="1"/>
    <col min="10" max="10" width="12.25390625" style="131" hidden="1" customWidth="1"/>
    <col min="11" max="11" width="11.625" style="106" hidden="1" customWidth="1"/>
    <col min="12" max="13" width="11.625" style="131" hidden="1" customWidth="1"/>
    <col min="14" max="14" width="11.00390625" style="135" hidden="1" customWidth="1"/>
    <col min="15" max="15" width="11.00390625" style="136" hidden="1" customWidth="1"/>
    <col min="16" max="17" width="11.00390625" style="136" customWidth="1"/>
    <col min="18" max="18" width="23.75390625" style="137" customWidth="1"/>
    <col min="19" max="16384" width="9.125" style="106" customWidth="1"/>
  </cols>
  <sheetData>
    <row r="1" spans="1:18" ht="12.75">
      <c r="A1" s="124"/>
      <c r="B1" s="124"/>
      <c r="C1" s="124"/>
      <c r="D1" s="124"/>
      <c r="E1" s="216" t="s">
        <v>174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2.75">
      <c r="A2" s="124"/>
      <c r="B2" s="124"/>
      <c r="C2" s="124"/>
      <c r="D2" s="124"/>
      <c r="E2" s="216" t="s">
        <v>175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8" ht="12.75">
      <c r="A3" s="124"/>
      <c r="B3" s="124"/>
      <c r="C3" s="124"/>
      <c r="D3" s="124"/>
      <c r="E3" s="216" t="s">
        <v>2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ht="12.75">
      <c r="A4" s="125"/>
      <c r="B4" s="125"/>
      <c r="C4" s="125"/>
      <c r="D4" s="125"/>
      <c r="E4" s="217" t="s">
        <v>3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</row>
    <row r="5" spans="1:18" ht="12.75">
      <c r="A5" s="125"/>
      <c r="B5" s="125"/>
      <c r="C5" s="125"/>
      <c r="D5" s="125"/>
      <c r="E5" s="126"/>
      <c r="F5" s="126"/>
      <c r="G5" s="126" t="s">
        <v>502</v>
      </c>
      <c r="H5" s="126"/>
      <c r="I5" s="126"/>
      <c r="J5" s="127"/>
      <c r="K5" s="126"/>
      <c r="L5" s="127"/>
      <c r="M5" s="127"/>
      <c r="N5" s="128"/>
      <c r="O5" s="129"/>
      <c r="P5" s="129"/>
      <c r="Q5" s="129"/>
      <c r="R5" s="130" t="s">
        <v>507</v>
      </c>
    </row>
    <row r="6" spans="1:18" ht="12.75">
      <c r="A6" s="125"/>
      <c r="B6" s="125"/>
      <c r="C6" s="125"/>
      <c r="D6" s="12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18" ht="12.75">
      <c r="A7" s="125"/>
      <c r="B7" s="125"/>
      <c r="C7" s="125"/>
      <c r="D7" s="125"/>
      <c r="E7" s="216" t="s">
        <v>176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</row>
    <row r="8" spans="1:18" ht="12.75">
      <c r="A8" s="125"/>
      <c r="B8" s="125"/>
      <c r="C8" s="125"/>
      <c r="D8" s="125"/>
      <c r="E8" s="216" t="s">
        <v>175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</row>
    <row r="9" spans="1:18" ht="12.75">
      <c r="A9" s="125"/>
      <c r="B9" s="125"/>
      <c r="C9" s="125"/>
      <c r="D9" s="125"/>
      <c r="E9" s="216" t="s">
        <v>2</v>
      </c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</row>
    <row r="10" spans="1:18" ht="18.75" customHeight="1">
      <c r="A10" s="125"/>
      <c r="B10" s="125"/>
      <c r="C10" s="125"/>
      <c r="D10" s="125"/>
      <c r="E10" s="217" t="s">
        <v>3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</row>
    <row r="11" spans="1:18" ht="18.75" customHeight="1">
      <c r="A11" s="125"/>
      <c r="B11" s="125"/>
      <c r="C11" s="125"/>
      <c r="D11" s="125"/>
      <c r="E11" s="125"/>
      <c r="F11" s="125"/>
      <c r="G11" s="125"/>
      <c r="K11" s="218" t="s">
        <v>5</v>
      </c>
      <c r="L11" s="218"/>
      <c r="M11" s="218"/>
      <c r="N11" s="218"/>
      <c r="O11" s="218"/>
      <c r="P11" s="218"/>
      <c r="Q11" s="218"/>
      <c r="R11" s="218"/>
    </row>
    <row r="12" spans="1:18" ht="14.25" customHeight="1">
      <c r="A12" s="219" t="s">
        <v>177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</row>
    <row r="13" spans="1:18" ht="14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134"/>
      <c r="P13" s="134"/>
      <c r="Q13" s="134"/>
      <c r="R13" s="132"/>
    </row>
    <row r="14" spans="1:18" ht="12.75">
      <c r="A14" s="219" t="s">
        <v>178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</row>
    <row r="15" spans="1:18" ht="24" customHeight="1">
      <c r="A15" s="221" t="s">
        <v>179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</row>
    <row r="16" spans="1:7" ht="12.75">
      <c r="A16" s="219"/>
      <c r="B16" s="219"/>
      <c r="C16" s="219"/>
      <c r="D16" s="219"/>
      <c r="E16" s="219"/>
      <c r="F16" s="219"/>
      <c r="G16" s="219"/>
    </row>
    <row r="17" spans="1:18" ht="12.75">
      <c r="A17" s="138"/>
      <c r="B17" s="139"/>
      <c r="C17" s="139"/>
      <c r="D17" s="139"/>
      <c r="E17" s="139"/>
      <c r="F17" s="140"/>
      <c r="G17" s="222" t="s">
        <v>7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</row>
    <row r="18" spans="1:18" ht="89.25">
      <c r="A18" s="141" t="s">
        <v>180</v>
      </c>
      <c r="B18" s="142" t="s">
        <v>181</v>
      </c>
      <c r="C18" s="143" t="s">
        <v>182</v>
      </c>
      <c r="D18" s="143" t="s">
        <v>183</v>
      </c>
      <c r="E18" s="143" t="s">
        <v>184</v>
      </c>
      <c r="F18" s="143" t="s">
        <v>185</v>
      </c>
      <c r="G18" s="144" t="s">
        <v>10</v>
      </c>
      <c r="H18" s="145" t="s">
        <v>186</v>
      </c>
      <c r="I18" s="145" t="s">
        <v>187</v>
      </c>
      <c r="J18" s="145" t="s">
        <v>186</v>
      </c>
      <c r="K18" s="145" t="s">
        <v>187</v>
      </c>
      <c r="L18" s="145" t="s">
        <v>186</v>
      </c>
      <c r="M18" s="145" t="s">
        <v>187</v>
      </c>
      <c r="N18" s="146" t="s">
        <v>186</v>
      </c>
      <c r="O18" s="147" t="s">
        <v>187</v>
      </c>
      <c r="P18" s="146" t="s">
        <v>186</v>
      </c>
      <c r="Q18" s="147" t="s">
        <v>187</v>
      </c>
      <c r="R18" s="148" t="s">
        <v>10</v>
      </c>
    </row>
    <row r="19" spans="1:18" ht="12.75">
      <c r="A19" s="141">
        <v>1</v>
      </c>
      <c r="B19" s="143">
        <v>2</v>
      </c>
      <c r="C19" s="143">
        <v>3</v>
      </c>
      <c r="D19" s="143">
        <v>4</v>
      </c>
      <c r="E19" s="143">
        <v>5</v>
      </c>
      <c r="F19" s="144">
        <v>6</v>
      </c>
      <c r="G19" s="142">
        <v>7</v>
      </c>
      <c r="H19" s="149"/>
      <c r="I19" s="149"/>
      <c r="J19" s="149"/>
      <c r="K19" s="149"/>
      <c r="L19" s="149"/>
      <c r="M19" s="149"/>
      <c r="N19" s="150"/>
      <c r="O19" s="151"/>
      <c r="P19" s="151"/>
      <c r="Q19" s="151"/>
      <c r="R19" s="152"/>
    </row>
    <row r="20" spans="1:19" ht="12.75">
      <c r="A20" s="153" t="s">
        <v>188</v>
      </c>
      <c r="B20" s="153"/>
      <c r="C20" s="153"/>
      <c r="D20" s="153"/>
      <c r="E20" s="153"/>
      <c r="F20" s="153"/>
      <c r="G20" s="54">
        <f aca="true" t="shared" si="0" ref="G20:R20">G302</f>
        <v>1526047.825</v>
      </c>
      <c r="H20" s="54">
        <f t="shared" si="0"/>
        <v>49416.409999999996</v>
      </c>
      <c r="I20" s="54">
        <f t="shared" si="0"/>
        <v>0</v>
      </c>
      <c r="J20" s="54">
        <f t="shared" si="0"/>
        <v>43229.68902</v>
      </c>
      <c r="K20" s="54">
        <f t="shared" si="0"/>
        <v>1000</v>
      </c>
      <c r="L20" s="54">
        <f t="shared" si="0"/>
        <v>-34995.061559999995</v>
      </c>
      <c r="M20" s="54">
        <f t="shared" si="0"/>
        <v>0</v>
      </c>
      <c r="N20" s="73">
        <f t="shared" si="0"/>
        <v>49824.366</v>
      </c>
      <c r="O20" s="82">
        <f t="shared" si="0"/>
        <v>0</v>
      </c>
      <c r="P20" s="82"/>
      <c r="Q20" s="82"/>
      <c r="R20" s="83">
        <f t="shared" si="0"/>
        <v>1645604.8176099996</v>
      </c>
      <c r="S20" s="56"/>
    </row>
    <row r="21" spans="1:19" ht="12.75">
      <c r="A21" s="154" t="s">
        <v>189</v>
      </c>
      <c r="B21" s="155"/>
      <c r="C21" s="155" t="s">
        <v>190</v>
      </c>
      <c r="D21" s="155"/>
      <c r="E21" s="155"/>
      <c r="F21" s="155"/>
      <c r="G21" s="54">
        <f aca="true" t="shared" si="1" ref="G21:L21">G22+G26+G29+G32+G38</f>
        <v>34714.833999999995</v>
      </c>
      <c r="H21" s="54">
        <f t="shared" si="1"/>
        <v>1588.09</v>
      </c>
      <c r="I21" s="54">
        <f t="shared" si="1"/>
        <v>0</v>
      </c>
      <c r="J21" s="54">
        <f t="shared" si="1"/>
        <v>191.304</v>
      </c>
      <c r="K21" s="54">
        <f t="shared" si="1"/>
        <v>14999.9</v>
      </c>
      <c r="L21" s="54">
        <f t="shared" si="1"/>
        <v>2241.5205</v>
      </c>
      <c r="M21" s="54">
        <f>M22+M26+M29+M32+M38+M35</f>
        <v>750</v>
      </c>
      <c r="N21" s="73">
        <f>N22+N26+N29+N32+N38+N35</f>
        <v>4950</v>
      </c>
      <c r="O21" s="82">
        <f>O22+O26+O29+O32+O38+O35</f>
        <v>0</v>
      </c>
      <c r="P21" s="82">
        <f>P38</f>
        <v>1100</v>
      </c>
      <c r="Q21" s="82"/>
      <c r="R21" s="83">
        <f>R22+R26+R29+R32+R38+R35</f>
        <v>60420.648499999996</v>
      </c>
      <c r="S21" s="56"/>
    </row>
    <row r="22" spans="1:19" ht="51">
      <c r="A22" s="154" t="s">
        <v>191</v>
      </c>
      <c r="B22" s="155"/>
      <c r="C22" s="155" t="s">
        <v>192</v>
      </c>
      <c r="D22" s="155" t="s">
        <v>193</v>
      </c>
      <c r="E22" s="155"/>
      <c r="F22" s="155"/>
      <c r="G22" s="54">
        <f>G23</f>
        <v>1297.1</v>
      </c>
      <c r="H22" s="54">
        <f aca="true" t="shared" si="2" ref="H22:M24">H23</f>
        <v>0</v>
      </c>
      <c r="I22" s="54">
        <f t="shared" si="2"/>
        <v>0</v>
      </c>
      <c r="J22" s="54">
        <f t="shared" si="2"/>
        <v>0</v>
      </c>
      <c r="K22" s="54">
        <f t="shared" si="2"/>
        <v>0</v>
      </c>
      <c r="L22" s="54">
        <f t="shared" si="2"/>
        <v>0</v>
      </c>
      <c r="M22" s="54">
        <f t="shared" si="2"/>
        <v>0</v>
      </c>
      <c r="N22" s="73"/>
      <c r="O22" s="82"/>
      <c r="P22" s="82"/>
      <c r="Q22" s="82"/>
      <c r="R22" s="83">
        <f>R23</f>
        <v>1297.1</v>
      </c>
      <c r="S22" s="56"/>
    </row>
    <row r="23" spans="1:19" ht="63.75">
      <c r="A23" s="156" t="s">
        <v>194</v>
      </c>
      <c r="B23" s="157" t="s">
        <v>195</v>
      </c>
      <c r="C23" s="157" t="s">
        <v>190</v>
      </c>
      <c r="D23" s="157" t="s">
        <v>196</v>
      </c>
      <c r="E23" s="157" t="s">
        <v>197</v>
      </c>
      <c r="F23" s="157"/>
      <c r="G23" s="57">
        <f>G24</f>
        <v>1297.1</v>
      </c>
      <c r="H23" s="57">
        <f t="shared" si="2"/>
        <v>0</v>
      </c>
      <c r="I23" s="57">
        <f t="shared" si="2"/>
        <v>0</v>
      </c>
      <c r="J23" s="57">
        <f t="shared" si="2"/>
        <v>0</v>
      </c>
      <c r="K23" s="57">
        <f t="shared" si="2"/>
        <v>0</v>
      </c>
      <c r="L23" s="57">
        <f t="shared" si="2"/>
        <v>0</v>
      </c>
      <c r="M23" s="57">
        <f t="shared" si="2"/>
        <v>0</v>
      </c>
      <c r="N23" s="74"/>
      <c r="O23" s="84"/>
      <c r="P23" s="84"/>
      <c r="Q23" s="84"/>
      <c r="R23" s="85">
        <f>R24</f>
        <v>1297.1</v>
      </c>
      <c r="S23" s="56"/>
    </row>
    <row r="24" spans="1:19" ht="12.75">
      <c r="A24" s="156" t="s">
        <v>198</v>
      </c>
      <c r="B24" s="157" t="s">
        <v>195</v>
      </c>
      <c r="C24" s="157" t="s">
        <v>190</v>
      </c>
      <c r="D24" s="157" t="s">
        <v>196</v>
      </c>
      <c r="E24" s="157" t="s">
        <v>199</v>
      </c>
      <c r="F24" s="157"/>
      <c r="G24" s="57">
        <f>G25</f>
        <v>1297.1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74"/>
      <c r="O24" s="84"/>
      <c r="P24" s="84"/>
      <c r="Q24" s="84"/>
      <c r="R24" s="85">
        <f>R25</f>
        <v>1297.1</v>
      </c>
      <c r="S24" s="56"/>
    </row>
    <row r="25" spans="1:19" ht="25.5">
      <c r="A25" s="156" t="s">
        <v>200</v>
      </c>
      <c r="B25" s="157" t="s">
        <v>195</v>
      </c>
      <c r="C25" s="157" t="s">
        <v>190</v>
      </c>
      <c r="D25" s="157" t="s">
        <v>196</v>
      </c>
      <c r="E25" s="157" t="s">
        <v>201</v>
      </c>
      <c r="F25" s="157">
        <v>500</v>
      </c>
      <c r="G25" s="57">
        <v>1297.1</v>
      </c>
      <c r="H25" s="58"/>
      <c r="I25" s="58"/>
      <c r="J25" s="58"/>
      <c r="K25" s="58"/>
      <c r="L25" s="58"/>
      <c r="M25" s="58"/>
      <c r="N25" s="75"/>
      <c r="O25" s="86"/>
      <c r="P25" s="86"/>
      <c r="Q25" s="86"/>
      <c r="R25" s="87">
        <f>G25+H25+I25</f>
        <v>1297.1</v>
      </c>
      <c r="S25" s="56"/>
    </row>
    <row r="26" spans="1:19" ht="102">
      <c r="A26" s="158" t="s">
        <v>202</v>
      </c>
      <c r="B26" s="155"/>
      <c r="C26" s="155" t="s">
        <v>190</v>
      </c>
      <c r="D26" s="155" t="s">
        <v>203</v>
      </c>
      <c r="E26" s="155"/>
      <c r="F26" s="155"/>
      <c r="G26" s="54">
        <f>G27</f>
        <v>28689.1</v>
      </c>
      <c r="H26" s="54">
        <f aca="true" t="shared" si="3" ref="H26:R27">H27</f>
        <v>1443.3</v>
      </c>
      <c r="I26" s="54">
        <f t="shared" si="3"/>
        <v>0</v>
      </c>
      <c r="J26" s="54">
        <f t="shared" si="3"/>
        <v>0</v>
      </c>
      <c r="K26" s="54">
        <f t="shared" si="3"/>
        <v>-250</v>
      </c>
      <c r="L26" s="54">
        <f t="shared" si="3"/>
        <v>1535</v>
      </c>
      <c r="M26" s="54">
        <f t="shared" si="3"/>
        <v>0</v>
      </c>
      <c r="N26" s="73"/>
      <c r="O26" s="82"/>
      <c r="P26" s="82"/>
      <c r="Q26" s="82"/>
      <c r="R26" s="83">
        <f>R27</f>
        <v>31417.399999999998</v>
      </c>
      <c r="S26" s="56"/>
    </row>
    <row r="27" spans="1:19" ht="12.75">
      <c r="A27" s="156" t="s">
        <v>204</v>
      </c>
      <c r="B27" s="157" t="s">
        <v>195</v>
      </c>
      <c r="C27" s="157" t="s">
        <v>190</v>
      </c>
      <c r="D27" s="157" t="s">
        <v>203</v>
      </c>
      <c r="E27" s="157" t="s">
        <v>205</v>
      </c>
      <c r="F27" s="157"/>
      <c r="G27" s="57">
        <f>G28</f>
        <v>28689.1</v>
      </c>
      <c r="H27" s="57">
        <f t="shared" si="3"/>
        <v>1443.3</v>
      </c>
      <c r="I27" s="57">
        <f t="shared" si="3"/>
        <v>0</v>
      </c>
      <c r="J27" s="57">
        <f t="shared" si="3"/>
        <v>0</v>
      </c>
      <c r="K27" s="57">
        <f t="shared" si="3"/>
        <v>-250</v>
      </c>
      <c r="L27" s="57">
        <f t="shared" si="3"/>
        <v>1535</v>
      </c>
      <c r="M27" s="57">
        <f t="shared" si="3"/>
        <v>0</v>
      </c>
      <c r="N27" s="74"/>
      <c r="O27" s="84"/>
      <c r="P27" s="84"/>
      <c r="Q27" s="84"/>
      <c r="R27" s="85">
        <f t="shared" si="3"/>
        <v>31417.399999999998</v>
      </c>
      <c r="S27" s="56"/>
    </row>
    <row r="28" spans="1:19" ht="38.25">
      <c r="A28" s="156" t="s">
        <v>206</v>
      </c>
      <c r="B28" s="157" t="s">
        <v>195</v>
      </c>
      <c r="C28" s="157" t="s">
        <v>190</v>
      </c>
      <c r="D28" s="157" t="s">
        <v>203</v>
      </c>
      <c r="E28" s="157" t="s">
        <v>207</v>
      </c>
      <c r="F28" s="157" t="s">
        <v>208</v>
      </c>
      <c r="G28" s="57">
        <f>28689.1+750-750</f>
        <v>28689.1</v>
      </c>
      <c r="H28" s="58">
        <f>250+1193.3</f>
        <v>1443.3</v>
      </c>
      <c r="I28" s="58"/>
      <c r="J28" s="58"/>
      <c r="K28" s="58">
        <v>-250</v>
      </c>
      <c r="L28" s="58">
        <v>1535</v>
      </c>
      <c r="M28" s="58"/>
      <c r="N28" s="75"/>
      <c r="O28" s="86"/>
      <c r="P28" s="86"/>
      <c r="Q28" s="86"/>
      <c r="R28" s="87">
        <f>G28+H28+I28+J28+K28+L28</f>
        <v>31417.399999999998</v>
      </c>
      <c r="S28" s="56"/>
    </row>
    <row r="29" spans="1:19" ht="63.75">
      <c r="A29" s="159" t="s">
        <v>209</v>
      </c>
      <c r="B29" s="157"/>
      <c r="C29" s="155" t="s">
        <v>190</v>
      </c>
      <c r="D29" s="155" t="s">
        <v>210</v>
      </c>
      <c r="E29" s="157"/>
      <c r="F29" s="157"/>
      <c r="G29" s="59">
        <f>G30</f>
        <v>1112.5</v>
      </c>
      <c r="H29" s="59">
        <f aca="true" t="shared" si="4" ref="H29:R30">H30</f>
        <v>0</v>
      </c>
      <c r="I29" s="59">
        <f t="shared" si="4"/>
        <v>0</v>
      </c>
      <c r="J29" s="59">
        <f t="shared" si="4"/>
        <v>0</v>
      </c>
      <c r="K29" s="59">
        <f t="shared" si="4"/>
        <v>0</v>
      </c>
      <c r="L29" s="59">
        <f t="shared" si="4"/>
        <v>0</v>
      </c>
      <c r="M29" s="59">
        <f t="shared" si="4"/>
        <v>0</v>
      </c>
      <c r="N29" s="76"/>
      <c r="O29" s="88"/>
      <c r="P29" s="88"/>
      <c r="Q29" s="88"/>
      <c r="R29" s="89">
        <f t="shared" si="4"/>
        <v>1112.5</v>
      </c>
      <c r="S29" s="56"/>
    </row>
    <row r="30" spans="1:19" ht="38.25">
      <c r="A30" s="159" t="s">
        <v>211</v>
      </c>
      <c r="B30" s="157" t="s">
        <v>195</v>
      </c>
      <c r="C30" s="157" t="s">
        <v>190</v>
      </c>
      <c r="D30" s="157" t="s">
        <v>210</v>
      </c>
      <c r="E30" s="157" t="s">
        <v>212</v>
      </c>
      <c r="F30" s="157"/>
      <c r="G30" s="57">
        <f>G31</f>
        <v>1112.5</v>
      </c>
      <c r="H30" s="57">
        <f t="shared" si="4"/>
        <v>0</v>
      </c>
      <c r="I30" s="57">
        <f t="shared" si="4"/>
        <v>0</v>
      </c>
      <c r="J30" s="57">
        <f t="shared" si="4"/>
        <v>0</v>
      </c>
      <c r="K30" s="57">
        <f t="shared" si="4"/>
        <v>0</v>
      </c>
      <c r="L30" s="57">
        <f t="shared" si="4"/>
        <v>0</v>
      </c>
      <c r="M30" s="57">
        <f t="shared" si="4"/>
        <v>0</v>
      </c>
      <c r="N30" s="74"/>
      <c r="O30" s="84"/>
      <c r="P30" s="84"/>
      <c r="Q30" s="84"/>
      <c r="R30" s="85">
        <f>R31</f>
        <v>1112.5</v>
      </c>
      <c r="S30" s="56"/>
    </row>
    <row r="31" spans="1:19" ht="25.5">
      <c r="A31" s="156" t="s">
        <v>200</v>
      </c>
      <c r="B31" s="157" t="s">
        <v>195</v>
      </c>
      <c r="C31" s="157" t="s">
        <v>190</v>
      </c>
      <c r="D31" s="157" t="s">
        <v>210</v>
      </c>
      <c r="E31" s="157" t="s">
        <v>212</v>
      </c>
      <c r="F31" s="157" t="s">
        <v>208</v>
      </c>
      <c r="G31" s="57">
        <v>1112.5</v>
      </c>
      <c r="H31" s="58"/>
      <c r="I31" s="58"/>
      <c r="J31" s="58"/>
      <c r="K31" s="58"/>
      <c r="L31" s="58"/>
      <c r="M31" s="58"/>
      <c r="N31" s="75"/>
      <c r="O31" s="86"/>
      <c r="P31" s="86"/>
      <c r="Q31" s="86"/>
      <c r="R31" s="87">
        <f>G31+H31+I31</f>
        <v>1112.5</v>
      </c>
      <c r="S31" s="56"/>
    </row>
    <row r="32" spans="1:19" ht="12.75">
      <c r="A32" s="154" t="s">
        <v>213</v>
      </c>
      <c r="B32" s="157"/>
      <c r="C32" s="155" t="s">
        <v>190</v>
      </c>
      <c r="D32" s="155" t="s">
        <v>214</v>
      </c>
      <c r="E32" s="155"/>
      <c r="F32" s="155"/>
      <c r="G32" s="54">
        <f>G33</f>
        <v>500</v>
      </c>
      <c r="H32" s="54">
        <f aca="true" t="shared" si="5" ref="H32:R33">H33</f>
        <v>0</v>
      </c>
      <c r="I32" s="54">
        <f t="shared" si="5"/>
        <v>0</v>
      </c>
      <c r="J32" s="54">
        <f t="shared" si="5"/>
        <v>0</v>
      </c>
      <c r="K32" s="54">
        <f t="shared" si="5"/>
        <v>0</v>
      </c>
      <c r="L32" s="54">
        <f t="shared" si="5"/>
        <v>0</v>
      </c>
      <c r="M32" s="54">
        <f t="shared" si="5"/>
        <v>0</v>
      </c>
      <c r="N32" s="73"/>
      <c r="O32" s="82"/>
      <c r="P32" s="82"/>
      <c r="Q32" s="82">
        <f>Q33</f>
        <v>-115</v>
      </c>
      <c r="R32" s="83">
        <f>R33</f>
        <v>385</v>
      </c>
      <c r="S32" s="56"/>
    </row>
    <row r="33" spans="1:19" ht="25.5">
      <c r="A33" s="156" t="s">
        <v>215</v>
      </c>
      <c r="B33" s="157" t="s">
        <v>195</v>
      </c>
      <c r="C33" s="157" t="s">
        <v>190</v>
      </c>
      <c r="D33" s="157" t="s">
        <v>214</v>
      </c>
      <c r="E33" s="157" t="s">
        <v>216</v>
      </c>
      <c r="F33" s="157"/>
      <c r="G33" s="57">
        <f>G34</f>
        <v>500</v>
      </c>
      <c r="H33" s="57">
        <f t="shared" si="5"/>
        <v>0</v>
      </c>
      <c r="I33" s="57">
        <f t="shared" si="5"/>
        <v>0</v>
      </c>
      <c r="J33" s="57">
        <f t="shared" si="5"/>
        <v>0</v>
      </c>
      <c r="K33" s="57">
        <f t="shared" si="5"/>
        <v>0</v>
      </c>
      <c r="L33" s="57">
        <f t="shared" si="5"/>
        <v>0</v>
      </c>
      <c r="M33" s="57">
        <f t="shared" si="5"/>
        <v>0</v>
      </c>
      <c r="N33" s="74"/>
      <c r="O33" s="84"/>
      <c r="P33" s="84"/>
      <c r="Q33" s="84">
        <f>Q34</f>
        <v>-115</v>
      </c>
      <c r="R33" s="85">
        <f t="shared" si="5"/>
        <v>385</v>
      </c>
      <c r="S33" s="56"/>
    </row>
    <row r="34" spans="1:19" ht="12.75">
      <c r="A34" s="156" t="s">
        <v>217</v>
      </c>
      <c r="B34" s="157" t="s">
        <v>195</v>
      </c>
      <c r="C34" s="157" t="s">
        <v>190</v>
      </c>
      <c r="D34" s="157" t="s">
        <v>214</v>
      </c>
      <c r="E34" s="157" t="s">
        <v>216</v>
      </c>
      <c r="F34" s="157" t="s">
        <v>218</v>
      </c>
      <c r="G34" s="57">
        <v>500</v>
      </c>
      <c r="H34" s="58"/>
      <c r="I34" s="58"/>
      <c r="J34" s="58"/>
      <c r="K34" s="58"/>
      <c r="L34" s="58"/>
      <c r="M34" s="58"/>
      <c r="N34" s="75"/>
      <c r="O34" s="86"/>
      <c r="P34" s="86"/>
      <c r="Q34" s="86">
        <v>-115</v>
      </c>
      <c r="R34" s="87">
        <f>G34+H34+I34+Q34</f>
        <v>385</v>
      </c>
      <c r="S34" s="56"/>
    </row>
    <row r="35" spans="1:19" ht="38.25">
      <c r="A35" s="160" t="s">
        <v>219</v>
      </c>
      <c r="B35" s="157"/>
      <c r="C35" s="155" t="s">
        <v>190</v>
      </c>
      <c r="D35" s="155" t="s">
        <v>220</v>
      </c>
      <c r="E35" s="157"/>
      <c r="F35" s="157"/>
      <c r="G35" s="57"/>
      <c r="H35" s="58"/>
      <c r="I35" s="58"/>
      <c r="J35" s="58"/>
      <c r="K35" s="58"/>
      <c r="L35" s="58"/>
      <c r="M35" s="58">
        <f>M36</f>
        <v>750</v>
      </c>
      <c r="N35" s="75"/>
      <c r="O35" s="86"/>
      <c r="P35" s="86">
        <f>P36</f>
        <v>0</v>
      </c>
      <c r="Q35" s="86"/>
      <c r="R35" s="87">
        <f>R36</f>
        <v>750</v>
      </c>
      <c r="S35" s="56"/>
    </row>
    <row r="36" spans="1:19" ht="51">
      <c r="A36" s="161" t="s">
        <v>221</v>
      </c>
      <c r="B36" s="157" t="s">
        <v>195</v>
      </c>
      <c r="C36" s="157" t="s">
        <v>190</v>
      </c>
      <c r="D36" s="157" t="s">
        <v>220</v>
      </c>
      <c r="E36" s="157" t="s">
        <v>222</v>
      </c>
      <c r="F36" s="157"/>
      <c r="G36" s="57"/>
      <c r="H36" s="58"/>
      <c r="I36" s="58"/>
      <c r="J36" s="58"/>
      <c r="K36" s="58"/>
      <c r="L36" s="58"/>
      <c r="M36" s="58">
        <f>M37</f>
        <v>750</v>
      </c>
      <c r="N36" s="75"/>
      <c r="O36" s="86"/>
      <c r="P36" s="86"/>
      <c r="Q36" s="86"/>
      <c r="R36" s="87">
        <f>R37</f>
        <v>750</v>
      </c>
      <c r="S36" s="56"/>
    </row>
    <row r="37" spans="1:19" ht="25.5">
      <c r="A37" s="156" t="s">
        <v>200</v>
      </c>
      <c r="B37" s="157" t="s">
        <v>195</v>
      </c>
      <c r="C37" s="157" t="s">
        <v>190</v>
      </c>
      <c r="D37" s="157" t="s">
        <v>220</v>
      </c>
      <c r="E37" s="157" t="s">
        <v>222</v>
      </c>
      <c r="F37" s="157" t="s">
        <v>208</v>
      </c>
      <c r="G37" s="57"/>
      <c r="H37" s="58"/>
      <c r="I37" s="58"/>
      <c r="J37" s="58"/>
      <c r="K37" s="58"/>
      <c r="L37" s="58"/>
      <c r="M37" s="58">
        <v>750</v>
      </c>
      <c r="N37" s="75"/>
      <c r="O37" s="86"/>
      <c r="P37" s="86"/>
      <c r="Q37" s="86"/>
      <c r="R37" s="87">
        <f>M37</f>
        <v>750</v>
      </c>
      <c r="S37" s="56"/>
    </row>
    <row r="38" spans="1:19" ht="25.5">
      <c r="A38" s="154" t="s">
        <v>223</v>
      </c>
      <c r="B38" s="157"/>
      <c r="C38" s="155" t="s">
        <v>190</v>
      </c>
      <c r="D38" s="155" t="s">
        <v>224</v>
      </c>
      <c r="E38" s="155"/>
      <c r="F38" s="155"/>
      <c r="G38" s="60">
        <f aca="true" t="shared" si="6" ref="G38:M38">G49+G51+G53+G43+G39+G45+G41+G47</f>
        <v>3116.134</v>
      </c>
      <c r="H38" s="60">
        <f t="shared" si="6"/>
        <v>144.79</v>
      </c>
      <c r="I38" s="60">
        <f t="shared" si="6"/>
        <v>0</v>
      </c>
      <c r="J38" s="60">
        <f t="shared" si="6"/>
        <v>191.304</v>
      </c>
      <c r="K38" s="60">
        <f t="shared" si="6"/>
        <v>15249.9</v>
      </c>
      <c r="L38" s="60">
        <f t="shared" si="6"/>
        <v>706.5205</v>
      </c>
      <c r="M38" s="60">
        <f t="shared" si="6"/>
        <v>0</v>
      </c>
      <c r="N38" s="77">
        <f>N49+N51+N53+N43+N39+N45+N41+N47+N55</f>
        <v>4950</v>
      </c>
      <c r="O38" s="90">
        <f>O49+O51+O53+O43+O39+O45+O41+O47+O55</f>
        <v>0</v>
      </c>
      <c r="P38" s="90">
        <f>P39+P41+P43+P45+P47+P49+P51+P53+P55+P57</f>
        <v>1100</v>
      </c>
      <c r="Q38" s="90"/>
      <c r="R38" s="90">
        <f>R49+R51+R53+R43+R39+R45+R41+R47+R55+R57</f>
        <v>25458.6485</v>
      </c>
      <c r="S38" s="56"/>
    </row>
    <row r="39" spans="1:19" ht="38.25">
      <c r="A39" s="156" t="s">
        <v>206</v>
      </c>
      <c r="B39" s="157" t="s">
        <v>195</v>
      </c>
      <c r="C39" s="157" t="s">
        <v>190</v>
      </c>
      <c r="D39" s="157" t="s">
        <v>224</v>
      </c>
      <c r="E39" s="157" t="s">
        <v>225</v>
      </c>
      <c r="F39" s="155"/>
      <c r="G39" s="60">
        <f aca="true" t="shared" si="7" ref="G39:R39">G40</f>
        <v>0</v>
      </c>
      <c r="H39" s="60">
        <f t="shared" si="7"/>
        <v>144.79</v>
      </c>
      <c r="I39" s="60">
        <f t="shared" si="7"/>
        <v>0</v>
      </c>
      <c r="J39" s="60">
        <f t="shared" si="7"/>
        <v>0</v>
      </c>
      <c r="K39" s="60">
        <f t="shared" si="7"/>
        <v>0</v>
      </c>
      <c r="L39" s="60">
        <f t="shared" si="7"/>
        <v>0</v>
      </c>
      <c r="M39" s="60">
        <f t="shared" si="7"/>
        <v>0</v>
      </c>
      <c r="N39" s="77"/>
      <c r="O39" s="90"/>
      <c r="P39" s="90"/>
      <c r="Q39" s="90"/>
      <c r="R39" s="91">
        <f t="shared" si="7"/>
        <v>144.79</v>
      </c>
      <c r="S39" s="56"/>
    </row>
    <row r="40" spans="1:19" ht="25.5">
      <c r="A40" s="156" t="s">
        <v>200</v>
      </c>
      <c r="B40" s="157" t="s">
        <v>195</v>
      </c>
      <c r="C40" s="157" t="s">
        <v>190</v>
      </c>
      <c r="D40" s="157" t="s">
        <v>224</v>
      </c>
      <c r="E40" s="157" t="s">
        <v>225</v>
      </c>
      <c r="F40" s="157" t="s">
        <v>208</v>
      </c>
      <c r="G40" s="61"/>
      <c r="H40" s="61">
        <v>144.79</v>
      </c>
      <c r="I40" s="61"/>
      <c r="J40" s="61"/>
      <c r="K40" s="61"/>
      <c r="L40" s="61"/>
      <c r="M40" s="61"/>
      <c r="N40" s="78"/>
      <c r="O40" s="92"/>
      <c r="P40" s="92"/>
      <c r="Q40" s="92"/>
      <c r="R40" s="93">
        <f>H40</f>
        <v>144.79</v>
      </c>
      <c r="S40" s="56"/>
    </row>
    <row r="41" spans="1:19" ht="51">
      <c r="A41" s="161" t="s">
        <v>226</v>
      </c>
      <c r="B41" s="157" t="s">
        <v>195</v>
      </c>
      <c r="C41" s="157" t="s">
        <v>190</v>
      </c>
      <c r="D41" s="157" t="s">
        <v>224</v>
      </c>
      <c r="E41" s="157" t="s">
        <v>227</v>
      </c>
      <c r="F41" s="157"/>
      <c r="G41" s="61">
        <f>G42</f>
        <v>0</v>
      </c>
      <c r="H41" s="61">
        <f aca="true" t="shared" si="8" ref="H41:R41">H42</f>
        <v>0</v>
      </c>
      <c r="I41" s="61">
        <f t="shared" si="8"/>
        <v>0</v>
      </c>
      <c r="J41" s="61">
        <f t="shared" si="8"/>
        <v>41.304</v>
      </c>
      <c r="K41" s="61">
        <f t="shared" si="8"/>
        <v>0</v>
      </c>
      <c r="L41" s="61">
        <f t="shared" si="8"/>
        <v>6.5205</v>
      </c>
      <c r="M41" s="61">
        <f t="shared" si="8"/>
        <v>0</v>
      </c>
      <c r="N41" s="78"/>
      <c r="O41" s="92"/>
      <c r="P41" s="92"/>
      <c r="Q41" s="92"/>
      <c r="R41" s="93">
        <f t="shared" si="8"/>
        <v>47.8245</v>
      </c>
      <c r="S41" s="56"/>
    </row>
    <row r="42" spans="1:19" ht="25.5">
      <c r="A42" s="156" t="s">
        <v>200</v>
      </c>
      <c r="B42" s="157" t="s">
        <v>195</v>
      </c>
      <c r="C42" s="157" t="s">
        <v>190</v>
      </c>
      <c r="D42" s="157" t="s">
        <v>224</v>
      </c>
      <c r="E42" s="157" t="s">
        <v>227</v>
      </c>
      <c r="F42" s="157" t="s">
        <v>208</v>
      </c>
      <c r="G42" s="61"/>
      <c r="H42" s="61"/>
      <c r="I42" s="61"/>
      <c r="J42" s="61">
        <v>41.304</v>
      </c>
      <c r="K42" s="61"/>
      <c r="L42" s="61">
        <v>6.5205</v>
      </c>
      <c r="M42" s="61"/>
      <c r="N42" s="78"/>
      <c r="O42" s="92"/>
      <c r="P42" s="92"/>
      <c r="Q42" s="92"/>
      <c r="R42" s="93">
        <f>J42+L42</f>
        <v>47.8245</v>
      </c>
      <c r="S42" s="56"/>
    </row>
    <row r="43" spans="1:19" ht="38.25">
      <c r="A43" s="162" t="s">
        <v>228</v>
      </c>
      <c r="B43" s="157" t="s">
        <v>195</v>
      </c>
      <c r="C43" s="157" t="s">
        <v>190</v>
      </c>
      <c r="D43" s="157" t="s">
        <v>224</v>
      </c>
      <c r="E43" s="157" t="s">
        <v>229</v>
      </c>
      <c r="F43" s="155"/>
      <c r="G43" s="61">
        <f aca="true" t="shared" si="9" ref="G43:R43">G44</f>
        <v>279.234</v>
      </c>
      <c r="H43" s="61">
        <f t="shared" si="9"/>
        <v>0</v>
      </c>
      <c r="I43" s="61">
        <f t="shared" si="9"/>
        <v>0</v>
      </c>
      <c r="J43" s="61">
        <f t="shared" si="9"/>
        <v>0</v>
      </c>
      <c r="K43" s="61">
        <f t="shared" si="9"/>
        <v>0</v>
      </c>
      <c r="L43" s="61">
        <f t="shared" si="9"/>
        <v>0</v>
      </c>
      <c r="M43" s="61">
        <f t="shared" si="9"/>
        <v>0</v>
      </c>
      <c r="N43" s="78"/>
      <c r="O43" s="92"/>
      <c r="P43" s="92"/>
      <c r="Q43" s="92"/>
      <c r="R43" s="93">
        <f t="shared" si="9"/>
        <v>279.234</v>
      </c>
      <c r="S43" s="56"/>
    </row>
    <row r="44" spans="1:19" ht="25.5">
      <c r="A44" s="156" t="s">
        <v>200</v>
      </c>
      <c r="B44" s="157" t="s">
        <v>195</v>
      </c>
      <c r="C44" s="157" t="s">
        <v>190</v>
      </c>
      <c r="D44" s="157" t="s">
        <v>224</v>
      </c>
      <c r="E44" s="157" t="s">
        <v>229</v>
      </c>
      <c r="F44" s="157" t="s">
        <v>208</v>
      </c>
      <c r="G44" s="61">
        <v>279.234</v>
      </c>
      <c r="H44" s="58"/>
      <c r="I44" s="58"/>
      <c r="J44" s="58"/>
      <c r="K44" s="58"/>
      <c r="L44" s="58"/>
      <c r="M44" s="58"/>
      <c r="N44" s="75"/>
      <c r="O44" s="86"/>
      <c r="P44" s="86"/>
      <c r="Q44" s="86"/>
      <c r="R44" s="87">
        <f>G44+H44+I44</f>
        <v>279.234</v>
      </c>
      <c r="S44" s="56"/>
    </row>
    <row r="45" spans="1:19" ht="25.5">
      <c r="A45" s="163" t="s">
        <v>230</v>
      </c>
      <c r="B45" s="157" t="s">
        <v>195</v>
      </c>
      <c r="C45" s="157" t="s">
        <v>190</v>
      </c>
      <c r="D45" s="157" t="s">
        <v>224</v>
      </c>
      <c r="E45" s="157" t="s">
        <v>231</v>
      </c>
      <c r="F45" s="157"/>
      <c r="G45" s="61">
        <f>G46</f>
        <v>0</v>
      </c>
      <c r="H45" s="61">
        <f aca="true" t="shared" si="10" ref="H45:R45">H46</f>
        <v>0</v>
      </c>
      <c r="I45" s="61">
        <f t="shared" si="10"/>
        <v>0</v>
      </c>
      <c r="J45" s="61">
        <f t="shared" si="10"/>
        <v>150</v>
      </c>
      <c r="K45" s="61">
        <f t="shared" si="10"/>
        <v>14999.9</v>
      </c>
      <c r="L45" s="61">
        <f t="shared" si="10"/>
        <v>700</v>
      </c>
      <c r="M45" s="61">
        <f t="shared" si="10"/>
        <v>0</v>
      </c>
      <c r="N45" s="78">
        <f t="shared" si="10"/>
        <v>950</v>
      </c>
      <c r="O45" s="92">
        <f t="shared" si="10"/>
        <v>0</v>
      </c>
      <c r="P45" s="92">
        <f>P46</f>
        <v>100</v>
      </c>
      <c r="Q45" s="92">
        <f>Q46</f>
        <v>0</v>
      </c>
      <c r="R45" s="93">
        <f t="shared" si="10"/>
        <v>16899.9</v>
      </c>
      <c r="S45" s="56"/>
    </row>
    <row r="46" spans="1:19" ht="25.5">
      <c r="A46" s="156" t="s">
        <v>232</v>
      </c>
      <c r="B46" s="157" t="s">
        <v>195</v>
      </c>
      <c r="C46" s="157" t="s">
        <v>190</v>
      </c>
      <c r="D46" s="157" t="s">
        <v>224</v>
      </c>
      <c r="E46" s="157" t="s">
        <v>231</v>
      </c>
      <c r="F46" s="157" t="s">
        <v>233</v>
      </c>
      <c r="G46" s="61"/>
      <c r="H46" s="58"/>
      <c r="I46" s="58"/>
      <c r="J46" s="58">
        <v>150</v>
      </c>
      <c r="K46" s="58">
        <v>14999.9</v>
      </c>
      <c r="L46" s="58">
        <v>700</v>
      </c>
      <c r="M46" s="58"/>
      <c r="N46" s="75">
        <v>950</v>
      </c>
      <c r="O46" s="86"/>
      <c r="P46" s="86">
        <v>100</v>
      </c>
      <c r="Q46" s="86"/>
      <c r="R46" s="87">
        <f>G46+H46+I46+J46+K46+L46+N46+P46</f>
        <v>16899.9</v>
      </c>
      <c r="S46" s="56"/>
    </row>
    <row r="47" spans="1:19" ht="38.25">
      <c r="A47" s="161" t="s">
        <v>234</v>
      </c>
      <c r="B47" s="157" t="s">
        <v>195</v>
      </c>
      <c r="C47" s="157" t="s">
        <v>190</v>
      </c>
      <c r="D47" s="157" t="s">
        <v>224</v>
      </c>
      <c r="E47" s="157" t="s">
        <v>235</v>
      </c>
      <c r="F47" s="157"/>
      <c r="G47" s="61">
        <f>G48</f>
        <v>0</v>
      </c>
      <c r="H47" s="61">
        <f aca="true" t="shared" si="11" ref="H47:R47">H48</f>
        <v>0</v>
      </c>
      <c r="I47" s="61">
        <f t="shared" si="11"/>
        <v>0</v>
      </c>
      <c r="J47" s="61">
        <f t="shared" si="11"/>
        <v>0</v>
      </c>
      <c r="K47" s="61">
        <f t="shared" si="11"/>
        <v>250</v>
      </c>
      <c r="L47" s="61">
        <f t="shared" si="11"/>
        <v>0</v>
      </c>
      <c r="M47" s="61">
        <f t="shared" si="11"/>
        <v>0</v>
      </c>
      <c r="N47" s="78"/>
      <c r="O47" s="92"/>
      <c r="P47" s="92"/>
      <c r="Q47" s="92"/>
      <c r="R47" s="93">
        <f t="shared" si="11"/>
        <v>250</v>
      </c>
      <c r="S47" s="56"/>
    </row>
    <row r="48" spans="1:19" ht="25.5">
      <c r="A48" s="156" t="s">
        <v>200</v>
      </c>
      <c r="B48" s="157" t="s">
        <v>195</v>
      </c>
      <c r="C48" s="157" t="s">
        <v>190</v>
      </c>
      <c r="D48" s="157" t="s">
        <v>224</v>
      </c>
      <c r="E48" s="157" t="s">
        <v>235</v>
      </c>
      <c r="F48" s="157" t="s">
        <v>208</v>
      </c>
      <c r="G48" s="61"/>
      <c r="H48" s="58"/>
      <c r="I48" s="58"/>
      <c r="J48" s="58"/>
      <c r="K48" s="58">
        <v>250</v>
      </c>
      <c r="L48" s="58"/>
      <c r="M48" s="58"/>
      <c r="N48" s="75"/>
      <c r="O48" s="86"/>
      <c r="P48" s="86"/>
      <c r="Q48" s="86"/>
      <c r="R48" s="87">
        <f>K48</f>
        <v>250</v>
      </c>
      <c r="S48" s="56"/>
    </row>
    <row r="49" spans="1:19" ht="63.75">
      <c r="A49" s="156" t="s">
        <v>236</v>
      </c>
      <c r="B49" s="157" t="s">
        <v>195</v>
      </c>
      <c r="C49" s="157" t="s">
        <v>190</v>
      </c>
      <c r="D49" s="157" t="s">
        <v>224</v>
      </c>
      <c r="E49" s="157" t="s">
        <v>237</v>
      </c>
      <c r="F49" s="157"/>
      <c r="G49" s="57">
        <f aca="true" t="shared" si="12" ref="G49:R49">G50</f>
        <v>506</v>
      </c>
      <c r="H49" s="57">
        <f t="shared" si="12"/>
        <v>0</v>
      </c>
      <c r="I49" s="57">
        <f t="shared" si="12"/>
        <v>0</v>
      </c>
      <c r="J49" s="57">
        <f t="shared" si="12"/>
        <v>0</v>
      </c>
      <c r="K49" s="57">
        <f t="shared" si="12"/>
        <v>0</v>
      </c>
      <c r="L49" s="57">
        <f t="shared" si="12"/>
        <v>0</v>
      </c>
      <c r="M49" s="57">
        <f t="shared" si="12"/>
        <v>0</v>
      </c>
      <c r="N49" s="74"/>
      <c r="O49" s="84"/>
      <c r="P49" s="84"/>
      <c r="Q49" s="84"/>
      <c r="R49" s="85">
        <f t="shared" si="12"/>
        <v>506</v>
      </c>
      <c r="S49" s="56"/>
    </row>
    <row r="50" spans="1:19" ht="25.5">
      <c r="A50" s="156" t="s">
        <v>232</v>
      </c>
      <c r="B50" s="157" t="s">
        <v>195</v>
      </c>
      <c r="C50" s="157" t="s">
        <v>190</v>
      </c>
      <c r="D50" s="157" t="s">
        <v>224</v>
      </c>
      <c r="E50" s="157" t="s">
        <v>237</v>
      </c>
      <c r="F50" s="157" t="s">
        <v>233</v>
      </c>
      <c r="G50" s="57">
        <v>506</v>
      </c>
      <c r="H50" s="58"/>
      <c r="I50" s="58"/>
      <c r="J50" s="58"/>
      <c r="K50" s="58"/>
      <c r="L50" s="58"/>
      <c r="M50" s="58"/>
      <c r="N50" s="75"/>
      <c r="O50" s="86"/>
      <c r="P50" s="86"/>
      <c r="Q50" s="86"/>
      <c r="R50" s="87">
        <f>G50+H50+I50</f>
        <v>506</v>
      </c>
      <c r="S50" s="56"/>
    </row>
    <row r="51" spans="1:19" ht="102">
      <c r="A51" s="156" t="s">
        <v>238</v>
      </c>
      <c r="B51" s="157" t="s">
        <v>195</v>
      </c>
      <c r="C51" s="157" t="s">
        <v>190</v>
      </c>
      <c r="D51" s="157" t="s">
        <v>224</v>
      </c>
      <c r="E51" s="157" t="s">
        <v>239</v>
      </c>
      <c r="F51" s="157"/>
      <c r="G51" s="57">
        <f aca="true" t="shared" si="13" ref="G51:R51">G52</f>
        <v>11.9</v>
      </c>
      <c r="H51" s="57">
        <f t="shared" si="13"/>
        <v>0</v>
      </c>
      <c r="I51" s="57">
        <f t="shared" si="13"/>
        <v>0</v>
      </c>
      <c r="J51" s="57">
        <f t="shared" si="13"/>
        <v>0</v>
      </c>
      <c r="K51" s="57">
        <f t="shared" si="13"/>
        <v>0</v>
      </c>
      <c r="L51" s="57">
        <f t="shared" si="13"/>
        <v>0</v>
      </c>
      <c r="M51" s="57">
        <f t="shared" si="13"/>
        <v>0</v>
      </c>
      <c r="N51" s="74"/>
      <c r="O51" s="84"/>
      <c r="P51" s="84"/>
      <c r="Q51" s="84"/>
      <c r="R51" s="85">
        <f t="shared" si="13"/>
        <v>11.9</v>
      </c>
      <c r="S51" s="56"/>
    </row>
    <row r="52" spans="1:19" ht="25.5">
      <c r="A52" s="156" t="s">
        <v>200</v>
      </c>
      <c r="B52" s="157" t="s">
        <v>195</v>
      </c>
      <c r="C52" s="157" t="s">
        <v>190</v>
      </c>
      <c r="D52" s="157" t="s">
        <v>224</v>
      </c>
      <c r="E52" s="157" t="s">
        <v>239</v>
      </c>
      <c r="F52" s="157" t="s">
        <v>208</v>
      </c>
      <c r="G52" s="57">
        <v>11.9</v>
      </c>
      <c r="H52" s="58"/>
      <c r="I52" s="58"/>
      <c r="J52" s="58"/>
      <c r="K52" s="58"/>
      <c r="L52" s="58"/>
      <c r="M52" s="58"/>
      <c r="N52" s="75"/>
      <c r="O52" s="86"/>
      <c r="P52" s="86"/>
      <c r="Q52" s="86"/>
      <c r="R52" s="87">
        <f>G52+H52+I52</f>
        <v>11.9</v>
      </c>
      <c r="S52" s="56"/>
    </row>
    <row r="53" spans="1:19" ht="25.5">
      <c r="A53" s="156" t="s">
        <v>240</v>
      </c>
      <c r="B53" s="157" t="s">
        <v>195</v>
      </c>
      <c r="C53" s="157" t="s">
        <v>190</v>
      </c>
      <c r="D53" s="157" t="s">
        <v>224</v>
      </c>
      <c r="E53" s="157" t="s">
        <v>241</v>
      </c>
      <c r="F53" s="157"/>
      <c r="G53" s="57">
        <f aca="true" t="shared" si="14" ref="G53:R53">G54</f>
        <v>2319</v>
      </c>
      <c r="H53" s="57">
        <f t="shared" si="14"/>
        <v>0</v>
      </c>
      <c r="I53" s="57">
        <f t="shared" si="14"/>
        <v>0</v>
      </c>
      <c r="J53" s="57">
        <f t="shared" si="14"/>
        <v>0</v>
      </c>
      <c r="K53" s="57">
        <f t="shared" si="14"/>
        <v>0</v>
      </c>
      <c r="L53" s="57">
        <f t="shared" si="14"/>
        <v>0</v>
      </c>
      <c r="M53" s="57">
        <f t="shared" si="14"/>
        <v>0</v>
      </c>
      <c r="N53" s="74"/>
      <c r="O53" s="84"/>
      <c r="P53" s="84"/>
      <c r="Q53" s="84"/>
      <c r="R53" s="85">
        <f t="shared" si="14"/>
        <v>2319</v>
      </c>
      <c r="S53" s="56"/>
    </row>
    <row r="54" spans="1:19" ht="25.5">
      <c r="A54" s="156" t="s">
        <v>200</v>
      </c>
      <c r="B54" s="157" t="s">
        <v>195</v>
      </c>
      <c r="C54" s="157" t="s">
        <v>190</v>
      </c>
      <c r="D54" s="157" t="s">
        <v>224</v>
      </c>
      <c r="E54" s="157" t="s">
        <v>241</v>
      </c>
      <c r="F54" s="157" t="s">
        <v>208</v>
      </c>
      <c r="G54" s="57">
        <v>2319</v>
      </c>
      <c r="H54" s="58"/>
      <c r="I54" s="58"/>
      <c r="J54" s="58"/>
      <c r="K54" s="58"/>
      <c r="L54" s="58"/>
      <c r="M54" s="58"/>
      <c r="N54" s="75"/>
      <c r="O54" s="86"/>
      <c r="P54" s="86"/>
      <c r="Q54" s="86"/>
      <c r="R54" s="87">
        <f>G54+H54+I54</f>
        <v>2319</v>
      </c>
      <c r="S54" s="56"/>
    </row>
    <row r="55" spans="1:19" ht="63.75">
      <c r="A55" s="161" t="s">
        <v>499</v>
      </c>
      <c r="B55" s="157" t="s">
        <v>195</v>
      </c>
      <c r="C55" s="157" t="s">
        <v>190</v>
      </c>
      <c r="D55" s="157" t="s">
        <v>224</v>
      </c>
      <c r="E55" s="157" t="s">
        <v>498</v>
      </c>
      <c r="F55" s="157"/>
      <c r="G55" s="57"/>
      <c r="H55" s="58"/>
      <c r="I55" s="58"/>
      <c r="J55" s="58"/>
      <c r="K55" s="58"/>
      <c r="L55" s="58"/>
      <c r="M55" s="58"/>
      <c r="N55" s="75">
        <f>N56</f>
        <v>4000</v>
      </c>
      <c r="O55" s="86">
        <f>O56</f>
        <v>0</v>
      </c>
      <c r="P55" s="86"/>
      <c r="Q55" s="86"/>
      <c r="R55" s="86">
        <f>R56</f>
        <v>4000</v>
      </c>
      <c r="S55" s="56"/>
    </row>
    <row r="56" spans="1:19" ht="25.5">
      <c r="A56" s="156" t="s">
        <v>200</v>
      </c>
      <c r="B56" s="157" t="s">
        <v>195</v>
      </c>
      <c r="C56" s="157" t="s">
        <v>190</v>
      </c>
      <c r="D56" s="157" t="s">
        <v>224</v>
      </c>
      <c r="E56" s="157" t="s">
        <v>498</v>
      </c>
      <c r="F56" s="157" t="s">
        <v>208</v>
      </c>
      <c r="G56" s="57"/>
      <c r="H56" s="58"/>
      <c r="I56" s="58"/>
      <c r="J56" s="58"/>
      <c r="K56" s="58"/>
      <c r="L56" s="58"/>
      <c r="M56" s="58"/>
      <c r="N56" s="75">
        <v>4000</v>
      </c>
      <c r="O56" s="86"/>
      <c r="P56" s="86"/>
      <c r="Q56" s="86"/>
      <c r="R56" s="87">
        <f>N56</f>
        <v>4000</v>
      </c>
      <c r="S56" s="56"/>
    </row>
    <row r="57" spans="1:19" ht="25.5">
      <c r="A57" s="159" t="s">
        <v>250</v>
      </c>
      <c r="B57" s="157" t="s">
        <v>195</v>
      </c>
      <c r="C57" s="157" t="s">
        <v>190</v>
      </c>
      <c r="D57" s="157" t="s">
        <v>224</v>
      </c>
      <c r="E57" s="157" t="s">
        <v>251</v>
      </c>
      <c r="F57" s="157"/>
      <c r="G57" s="57"/>
      <c r="H57" s="58"/>
      <c r="I57" s="58"/>
      <c r="J57" s="58"/>
      <c r="K57" s="58"/>
      <c r="L57" s="58"/>
      <c r="M57" s="58"/>
      <c r="N57" s="75"/>
      <c r="O57" s="86"/>
      <c r="P57" s="86">
        <f>P58</f>
        <v>1000</v>
      </c>
      <c r="Q57" s="86"/>
      <c r="R57" s="87">
        <f>R58</f>
        <v>1000</v>
      </c>
      <c r="S57" s="56"/>
    </row>
    <row r="58" spans="1:19" ht="25.5">
      <c r="A58" s="156" t="s">
        <v>200</v>
      </c>
      <c r="B58" s="157" t="s">
        <v>195</v>
      </c>
      <c r="C58" s="157" t="s">
        <v>190</v>
      </c>
      <c r="D58" s="157" t="s">
        <v>224</v>
      </c>
      <c r="E58" s="157" t="s">
        <v>251</v>
      </c>
      <c r="F58" s="157" t="s">
        <v>208</v>
      </c>
      <c r="G58" s="57"/>
      <c r="H58" s="58"/>
      <c r="I58" s="58"/>
      <c r="J58" s="58"/>
      <c r="K58" s="58"/>
      <c r="L58" s="58"/>
      <c r="M58" s="58"/>
      <c r="N58" s="75"/>
      <c r="O58" s="86"/>
      <c r="P58" s="86">
        <v>1000</v>
      </c>
      <c r="Q58" s="86"/>
      <c r="R58" s="87">
        <f>P58</f>
        <v>1000</v>
      </c>
      <c r="S58" s="56"/>
    </row>
    <row r="59" spans="1:19" ht="25.5">
      <c r="A59" s="154" t="s">
        <v>242</v>
      </c>
      <c r="B59" s="155"/>
      <c r="C59" s="155" t="s">
        <v>196</v>
      </c>
      <c r="D59" s="155" t="s">
        <v>243</v>
      </c>
      <c r="E59" s="155"/>
      <c r="F59" s="157"/>
      <c r="G59" s="54">
        <f>G60</f>
        <v>1820.016</v>
      </c>
      <c r="H59" s="54">
        <f aca="true" t="shared" si="15" ref="H59:R60">H60</f>
        <v>0</v>
      </c>
      <c r="I59" s="54">
        <f t="shared" si="15"/>
        <v>0</v>
      </c>
      <c r="J59" s="54">
        <f t="shared" si="15"/>
        <v>0</v>
      </c>
      <c r="K59" s="54">
        <f t="shared" si="15"/>
        <v>0</v>
      </c>
      <c r="L59" s="54">
        <f t="shared" si="15"/>
        <v>292.33</v>
      </c>
      <c r="M59" s="54">
        <f t="shared" si="15"/>
        <v>0</v>
      </c>
      <c r="N59" s="73"/>
      <c r="O59" s="82"/>
      <c r="P59" s="82"/>
      <c r="Q59" s="82"/>
      <c r="R59" s="83">
        <f t="shared" si="15"/>
        <v>2112.346</v>
      </c>
      <c r="S59" s="56"/>
    </row>
    <row r="60" spans="1:19" ht="51">
      <c r="A60" s="156" t="s">
        <v>244</v>
      </c>
      <c r="B60" s="157" t="s">
        <v>195</v>
      </c>
      <c r="C60" s="157" t="s">
        <v>196</v>
      </c>
      <c r="D60" s="157" t="s">
        <v>243</v>
      </c>
      <c r="E60" s="157" t="s">
        <v>245</v>
      </c>
      <c r="F60" s="157"/>
      <c r="G60" s="57">
        <f>G61</f>
        <v>1820.016</v>
      </c>
      <c r="H60" s="57">
        <f t="shared" si="15"/>
        <v>0</v>
      </c>
      <c r="I60" s="57">
        <f t="shared" si="15"/>
        <v>0</v>
      </c>
      <c r="J60" s="57">
        <f t="shared" si="15"/>
        <v>0</v>
      </c>
      <c r="K60" s="57">
        <f t="shared" si="15"/>
        <v>0</v>
      </c>
      <c r="L60" s="57">
        <f t="shared" si="15"/>
        <v>292.33</v>
      </c>
      <c r="M60" s="57">
        <f t="shared" si="15"/>
        <v>0</v>
      </c>
      <c r="N60" s="74"/>
      <c r="O60" s="84"/>
      <c r="P60" s="84"/>
      <c r="Q60" s="84"/>
      <c r="R60" s="85">
        <f t="shared" si="15"/>
        <v>2112.346</v>
      </c>
      <c r="S60" s="56"/>
    </row>
    <row r="61" spans="1:19" ht="12.75">
      <c r="A61" s="156" t="s">
        <v>246</v>
      </c>
      <c r="B61" s="157" t="s">
        <v>195</v>
      </c>
      <c r="C61" s="157" t="s">
        <v>196</v>
      </c>
      <c r="D61" s="157" t="s">
        <v>243</v>
      </c>
      <c r="E61" s="157" t="s">
        <v>245</v>
      </c>
      <c r="F61" s="157" t="s">
        <v>247</v>
      </c>
      <c r="G61" s="57">
        <v>1820.016</v>
      </c>
      <c r="H61" s="58"/>
      <c r="I61" s="58"/>
      <c r="J61" s="58"/>
      <c r="K61" s="58"/>
      <c r="L61" s="58">
        <v>292.33</v>
      </c>
      <c r="M61" s="58"/>
      <c r="N61" s="75"/>
      <c r="O61" s="86"/>
      <c r="P61" s="86"/>
      <c r="Q61" s="86"/>
      <c r="R61" s="87">
        <f>G61+H61+I61+L61</f>
        <v>2112.346</v>
      </c>
      <c r="S61" s="56"/>
    </row>
    <row r="62" spans="1:19" ht="51">
      <c r="A62" s="154" t="s">
        <v>248</v>
      </c>
      <c r="B62" s="155"/>
      <c r="C62" s="155" t="s">
        <v>243</v>
      </c>
      <c r="D62" s="155"/>
      <c r="E62" s="155"/>
      <c r="F62" s="155"/>
      <c r="G62" s="54">
        <f aca="true" t="shared" si="16" ref="G62:R62">G63+G69+G66</f>
        <v>1500</v>
      </c>
      <c r="H62" s="54">
        <f t="shared" si="16"/>
        <v>0</v>
      </c>
      <c r="I62" s="54">
        <f t="shared" si="16"/>
        <v>0</v>
      </c>
      <c r="J62" s="54">
        <f t="shared" si="16"/>
        <v>0</v>
      </c>
      <c r="K62" s="54">
        <f t="shared" si="16"/>
        <v>0</v>
      </c>
      <c r="L62" s="54">
        <f t="shared" si="16"/>
        <v>0</v>
      </c>
      <c r="M62" s="54">
        <f t="shared" si="16"/>
        <v>0</v>
      </c>
      <c r="N62" s="73">
        <f t="shared" si="16"/>
        <v>0</v>
      </c>
      <c r="O62" s="82">
        <f t="shared" si="16"/>
        <v>-200</v>
      </c>
      <c r="P62" s="82"/>
      <c r="Q62" s="82"/>
      <c r="R62" s="83">
        <f t="shared" si="16"/>
        <v>1300</v>
      </c>
      <c r="S62" s="56"/>
    </row>
    <row r="63" spans="1:19" ht="12.75">
      <c r="A63" s="158" t="s">
        <v>249</v>
      </c>
      <c r="B63" s="155"/>
      <c r="C63" s="155" t="s">
        <v>243</v>
      </c>
      <c r="D63" s="155" t="s">
        <v>196</v>
      </c>
      <c r="E63" s="155"/>
      <c r="F63" s="155"/>
      <c r="G63" s="54">
        <f>G64</f>
        <v>800</v>
      </c>
      <c r="H63" s="54">
        <f aca="true" t="shared" si="17" ref="H63:R64">H64</f>
        <v>0</v>
      </c>
      <c r="I63" s="54">
        <f t="shared" si="17"/>
        <v>0</v>
      </c>
      <c r="J63" s="54">
        <f t="shared" si="17"/>
        <v>0</v>
      </c>
      <c r="K63" s="54">
        <f t="shared" si="17"/>
        <v>0</v>
      </c>
      <c r="L63" s="54">
        <f t="shared" si="17"/>
        <v>0</v>
      </c>
      <c r="M63" s="54">
        <f t="shared" si="17"/>
        <v>0</v>
      </c>
      <c r="N63" s="73"/>
      <c r="O63" s="82"/>
      <c r="P63" s="82"/>
      <c r="Q63" s="82"/>
      <c r="R63" s="83">
        <f t="shared" si="17"/>
        <v>800</v>
      </c>
      <c r="S63" s="56"/>
    </row>
    <row r="64" spans="1:19" ht="25.5">
      <c r="A64" s="159" t="s">
        <v>250</v>
      </c>
      <c r="B64" s="157" t="s">
        <v>195</v>
      </c>
      <c r="C64" s="157" t="s">
        <v>243</v>
      </c>
      <c r="D64" s="157" t="s">
        <v>196</v>
      </c>
      <c r="E64" s="157" t="s">
        <v>251</v>
      </c>
      <c r="F64" s="157"/>
      <c r="G64" s="57">
        <f>G65</f>
        <v>800</v>
      </c>
      <c r="H64" s="57">
        <f t="shared" si="17"/>
        <v>0</v>
      </c>
      <c r="I64" s="57">
        <f t="shared" si="17"/>
        <v>0</v>
      </c>
      <c r="J64" s="57">
        <f t="shared" si="17"/>
        <v>0</v>
      </c>
      <c r="K64" s="57">
        <f t="shared" si="17"/>
        <v>0</v>
      </c>
      <c r="L64" s="57">
        <f t="shared" si="17"/>
        <v>0</v>
      </c>
      <c r="M64" s="57">
        <f t="shared" si="17"/>
        <v>0</v>
      </c>
      <c r="N64" s="74"/>
      <c r="O64" s="84"/>
      <c r="P64" s="84"/>
      <c r="Q64" s="84"/>
      <c r="R64" s="85">
        <f t="shared" si="17"/>
        <v>800</v>
      </c>
      <c r="S64" s="56"/>
    </row>
    <row r="65" spans="1:19" ht="25.5">
      <c r="A65" s="156" t="s">
        <v>200</v>
      </c>
      <c r="B65" s="157" t="s">
        <v>195</v>
      </c>
      <c r="C65" s="157" t="s">
        <v>243</v>
      </c>
      <c r="D65" s="157" t="s">
        <v>196</v>
      </c>
      <c r="E65" s="157" t="s">
        <v>251</v>
      </c>
      <c r="F65" s="157" t="s">
        <v>208</v>
      </c>
      <c r="G65" s="57">
        <f>700+100</f>
        <v>800</v>
      </c>
      <c r="H65" s="58"/>
      <c r="I65" s="58"/>
      <c r="J65" s="58"/>
      <c r="K65" s="58"/>
      <c r="L65" s="58"/>
      <c r="M65" s="58"/>
      <c r="N65" s="75"/>
      <c r="O65" s="86"/>
      <c r="P65" s="86"/>
      <c r="Q65" s="86"/>
      <c r="R65" s="87">
        <f>G65+H65+I65</f>
        <v>800</v>
      </c>
      <c r="S65" s="56"/>
    </row>
    <row r="66" spans="1:19" ht="12.75">
      <c r="A66" s="154" t="s">
        <v>252</v>
      </c>
      <c r="B66" s="157"/>
      <c r="C66" s="155" t="s">
        <v>243</v>
      </c>
      <c r="D66" s="155" t="s">
        <v>203</v>
      </c>
      <c r="E66" s="157"/>
      <c r="F66" s="157"/>
      <c r="G66" s="57">
        <f>G67</f>
        <v>200</v>
      </c>
      <c r="H66" s="57">
        <f aca="true" t="shared" si="18" ref="H66:R67">H67</f>
        <v>0</v>
      </c>
      <c r="I66" s="57">
        <f t="shared" si="18"/>
        <v>0</v>
      </c>
      <c r="J66" s="57">
        <f t="shared" si="18"/>
        <v>0</v>
      </c>
      <c r="K66" s="57">
        <f t="shared" si="18"/>
        <v>0</v>
      </c>
      <c r="L66" s="57">
        <f t="shared" si="18"/>
        <v>0</v>
      </c>
      <c r="M66" s="57">
        <f t="shared" si="18"/>
        <v>0</v>
      </c>
      <c r="N66" s="74"/>
      <c r="O66" s="84"/>
      <c r="P66" s="84"/>
      <c r="Q66" s="84"/>
      <c r="R66" s="85">
        <f t="shared" si="18"/>
        <v>200</v>
      </c>
      <c r="S66" s="56"/>
    </row>
    <row r="67" spans="1:19" ht="51">
      <c r="A67" s="156" t="s">
        <v>253</v>
      </c>
      <c r="B67" s="157" t="s">
        <v>195</v>
      </c>
      <c r="C67" s="157" t="s">
        <v>243</v>
      </c>
      <c r="D67" s="157" t="s">
        <v>203</v>
      </c>
      <c r="E67" s="157" t="s">
        <v>254</v>
      </c>
      <c r="F67" s="157"/>
      <c r="G67" s="57">
        <f>G68</f>
        <v>200</v>
      </c>
      <c r="H67" s="57">
        <f t="shared" si="18"/>
        <v>0</v>
      </c>
      <c r="I67" s="57">
        <f t="shared" si="18"/>
        <v>0</v>
      </c>
      <c r="J67" s="57">
        <f t="shared" si="18"/>
        <v>0</v>
      </c>
      <c r="K67" s="57">
        <f t="shared" si="18"/>
        <v>0</v>
      </c>
      <c r="L67" s="57">
        <f t="shared" si="18"/>
        <v>0</v>
      </c>
      <c r="M67" s="57">
        <f t="shared" si="18"/>
        <v>0</v>
      </c>
      <c r="N67" s="74"/>
      <c r="O67" s="84"/>
      <c r="P67" s="84"/>
      <c r="Q67" s="84"/>
      <c r="R67" s="85">
        <f t="shared" si="18"/>
        <v>200</v>
      </c>
      <c r="S67" s="56"/>
    </row>
    <row r="68" spans="1:19" ht="12.75">
      <c r="A68" s="156" t="s">
        <v>246</v>
      </c>
      <c r="B68" s="157" t="s">
        <v>195</v>
      </c>
      <c r="C68" s="157" t="s">
        <v>243</v>
      </c>
      <c r="D68" s="157" t="s">
        <v>203</v>
      </c>
      <c r="E68" s="157" t="s">
        <v>254</v>
      </c>
      <c r="F68" s="157" t="s">
        <v>247</v>
      </c>
      <c r="G68" s="57">
        <v>200</v>
      </c>
      <c r="H68" s="58"/>
      <c r="I68" s="58"/>
      <c r="J68" s="58"/>
      <c r="K68" s="58"/>
      <c r="L68" s="58"/>
      <c r="M68" s="58"/>
      <c r="N68" s="75"/>
      <c r="O68" s="86"/>
      <c r="P68" s="86"/>
      <c r="Q68" s="86"/>
      <c r="R68" s="87">
        <f>G68+H68+I68</f>
        <v>200</v>
      </c>
      <c r="S68" s="56"/>
    </row>
    <row r="69" spans="1:19" ht="51">
      <c r="A69" s="158" t="s">
        <v>248</v>
      </c>
      <c r="B69" s="157"/>
      <c r="C69" s="155" t="s">
        <v>243</v>
      </c>
      <c r="D69" s="155" t="s">
        <v>255</v>
      </c>
      <c r="E69" s="157"/>
      <c r="F69" s="157"/>
      <c r="G69" s="54">
        <f>G70</f>
        <v>500</v>
      </c>
      <c r="H69" s="54">
        <f aca="true" t="shared" si="19" ref="H69:R70">H70</f>
        <v>0</v>
      </c>
      <c r="I69" s="54">
        <f t="shared" si="19"/>
        <v>0</v>
      </c>
      <c r="J69" s="54">
        <f t="shared" si="19"/>
        <v>0</v>
      </c>
      <c r="K69" s="54">
        <f t="shared" si="19"/>
        <v>0</v>
      </c>
      <c r="L69" s="54">
        <f t="shared" si="19"/>
        <v>0</v>
      </c>
      <c r="M69" s="54">
        <f t="shared" si="19"/>
        <v>0</v>
      </c>
      <c r="N69" s="73">
        <f t="shared" si="19"/>
        <v>0</v>
      </c>
      <c r="O69" s="82">
        <f t="shared" si="19"/>
        <v>-200</v>
      </c>
      <c r="P69" s="82"/>
      <c r="Q69" s="82"/>
      <c r="R69" s="83">
        <f t="shared" si="19"/>
        <v>300</v>
      </c>
      <c r="S69" s="56"/>
    </row>
    <row r="70" spans="1:19" ht="63.75">
      <c r="A70" s="156" t="s">
        <v>256</v>
      </c>
      <c r="B70" s="157" t="s">
        <v>195</v>
      </c>
      <c r="C70" s="157" t="s">
        <v>243</v>
      </c>
      <c r="D70" s="157" t="s">
        <v>255</v>
      </c>
      <c r="E70" s="157" t="s">
        <v>257</v>
      </c>
      <c r="F70" s="157"/>
      <c r="G70" s="57">
        <f>G71</f>
        <v>500</v>
      </c>
      <c r="H70" s="57">
        <f t="shared" si="19"/>
        <v>0</v>
      </c>
      <c r="I70" s="57">
        <f t="shared" si="19"/>
        <v>0</v>
      </c>
      <c r="J70" s="57">
        <f t="shared" si="19"/>
        <v>0</v>
      </c>
      <c r="K70" s="57">
        <f t="shared" si="19"/>
        <v>0</v>
      </c>
      <c r="L70" s="57">
        <f t="shared" si="19"/>
        <v>0</v>
      </c>
      <c r="M70" s="57">
        <f t="shared" si="19"/>
        <v>0</v>
      </c>
      <c r="N70" s="74">
        <f t="shared" si="19"/>
        <v>0</v>
      </c>
      <c r="O70" s="84">
        <f t="shared" si="19"/>
        <v>-200</v>
      </c>
      <c r="P70" s="84"/>
      <c r="Q70" s="84"/>
      <c r="R70" s="85">
        <f t="shared" si="19"/>
        <v>300</v>
      </c>
      <c r="S70" s="56"/>
    </row>
    <row r="71" spans="1:19" ht="25.5">
      <c r="A71" s="156" t="s">
        <v>200</v>
      </c>
      <c r="B71" s="157" t="s">
        <v>195</v>
      </c>
      <c r="C71" s="157" t="s">
        <v>243</v>
      </c>
      <c r="D71" s="157" t="s">
        <v>255</v>
      </c>
      <c r="E71" s="157" t="s">
        <v>257</v>
      </c>
      <c r="F71" s="157" t="s">
        <v>208</v>
      </c>
      <c r="G71" s="57">
        <v>500</v>
      </c>
      <c r="H71" s="58"/>
      <c r="I71" s="58"/>
      <c r="J71" s="58"/>
      <c r="K71" s="58"/>
      <c r="L71" s="58"/>
      <c r="M71" s="58"/>
      <c r="N71" s="75"/>
      <c r="O71" s="86">
        <v>-200</v>
      </c>
      <c r="P71" s="86"/>
      <c r="Q71" s="86"/>
      <c r="R71" s="87">
        <f>G71+H71+I71+O71</f>
        <v>300</v>
      </c>
      <c r="S71" s="56"/>
    </row>
    <row r="72" spans="1:19" ht="12.75">
      <c r="A72" s="154" t="s">
        <v>258</v>
      </c>
      <c r="B72" s="155"/>
      <c r="C72" s="155" t="s">
        <v>203</v>
      </c>
      <c r="D72" s="155"/>
      <c r="E72" s="155"/>
      <c r="F72" s="155"/>
      <c r="G72" s="54">
        <f aca="true" t="shared" si="20" ref="G72:M72">G73+G82+G85+G91+G96+G99</f>
        <v>45219.275</v>
      </c>
      <c r="H72" s="54">
        <f t="shared" si="20"/>
        <v>3289.9</v>
      </c>
      <c r="I72" s="54">
        <f t="shared" si="20"/>
        <v>-1000</v>
      </c>
      <c r="J72" s="54">
        <f t="shared" si="20"/>
        <v>-800</v>
      </c>
      <c r="K72" s="54">
        <f t="shared" si="20"/>
        <v>-13999.9</v>
      </c>
      <c r="L72" s="54">
        <f>L73+L82+L85+L91+L96+L99</f>
        <v>5175.656000000001</v>
      </c>
      <c r="M72" s="54">
        <f t="shared" si="20"/>
        <v>-750</v>
      </c>
      <c r="N72" s="73">
        <f>N73+N82+N85+N91+N96+N99+N88</f>
        <v>3868.8</v>
      </c>
      <c r="O72" s="82">
        <f>O73+O82+O85+O91+O96+O99+O88</f>
        <v>200</v>
      </c>
      <c r="P72" s="82">
        <f>P73+P82+P85+P91+P96+P99+P88</f>
        <v>1013.08115</v>
      </c>
      <c r="Q72" s="82"/>
      <c r="R72" s="83">
        <f>R73+R82+R85+R91+R96+R99+R88</f>
        <v>42216.81215</v>
      </c>
      <c r="S72" s="56"/>
    </row>
    <row r="73" spans="1:19" ht="12.75">
      <c r="A73" s="154" t="s">
        <v>259</v>
      </c>
      <c r="B73" s="155"/>
      <c r="C73" s="155" t="s">
        <v>203</v>
      </c>
      <c r="D73" s="155" t="s">
        <v>190</v>
      </c>
      <c r="E73" s="155"/>
      <c r="F73" s="155"/>
      <c r="G73" s="54">
        <f>G78+G80</f>
        <v>1034.075</v>
      </c>
      <c r="H73" s="54">
        <f>H78+H80</f>
        <v>0</v>
      </c>
      <c r="I73" s="54">
        <f>I78+I80</f>
        <v>0</v>
      </c>
      <c r="J73" s="54">
        <f>J78+J80</f>
        <v>0</v>
      </c>
      <c r="K73" s="54">
        <f>K78+K80</f>
        <v>0</v>
      </c>
      <c r="L73" s="54">
        <f>L78+L80+L76+L74</f>
        <v>294.05600000000004</v>
      </c>
      <c r="M73" s="54">
        <f>M78+M80+M76+M74</f>
        <v>0</v>
      </c>
      <c r="N73" s="73">
        <f>N78+N80+N76+N74</f>
        <v>0</v>
      </c>
      <c r="O73" s="82">
        <f>O78+O80+O76+O74</f>
        <v>0</v>
      </c>
      <c r="P73" s="82"/>
      <c r="Q73" s="82"/>
      <c r="R73" s="83">
        <f>R78+R80+R76+R74</f>
        <v>1328.131</v>
      </c>
      <c r="S73" s="56"/>
    </row>
    <row r="74" spans="1:19" ht="63.75">
      <c r="A74" s="161" t="s">
        <v>260</v>
      </c>
      <c r="B74" s="157" t="s">
        <v>195</v>
      </c>
      <c r="C74" s="157" t="s">
        <v>203</v>
      </c>
      <c r="D74" s="157" t="s">
        <v>190</v>
      </c>
      <c r="E74" s="157" t="s">
        <v>261</v>
      </c>
      <c r="F74" s="155"/>
      <c r="G74" s="54"/>
      <c r="H74" s="54"/>
      <c r="I74" s="54"/>
      <c r="J74" s="54"/>
      <c r="K74" s="57"/>
      <c r="L74" s="57">
        <f>L75</f>
        <v>50</v>
      </c>
      <c r="M74" s="57">
        <f>M75</f>
        <v>0</v>
      </c>
      <c r="N74" s="74"/>
      <c r="O74" s="84"/>
      <c r="P74" s="84"/>
      <c r="Q74" s="84"/>
      <c r="R74" s="85">
        <f>R75</f>
        <v>50</v>
      </c>
      <c r="S74" s="56"/>
    </row>
    <row r="75" spans="1:19" ht="25.5">
      <c r="A75" s="156" t="s">
        <v>232</v>
      </c>
      <c r="B75" s="157" t="s">
        <v>195</v>
      </c>
      <c r="C75" s="157" t="s">
        <v>203</v>
      </c>
      <c r="D75" s="157" t="s">
        <v>190</v>
      </c>
      <c r="E75" s="157" t="s">
        <v>261</v>
      </c>
      <c r="F75" s="157" t="s">
        <v>233</v>
      </c>
      <c r="G75" s="54"/>
      <c r="H75" s="54"/>
      <c r="I75" s="54"/>
      <c r="J75" s="54"/>
      <c r="K75" s="57"/>
      <c r="L75" s="57">
        <v>50</v>
      </c>
      <c r="M75" s="57"/>
      <c r="N75" s="74"/>
      <c r="O75" s="84"/>
      <c r="P75" s="84"/>
      <c r="Q75" s="84"/>
      <c r="R75" s="85">
        <f>L75</f>
        <v>50</v>
      </c>
      <c r="S75" s="56"/>
    </row>
    <row r="76" spans="1:19" ht="63.75">
      <c r="A76" s="161" t="s">
        <v>260</v>
      </c>
      <c r="B76" s="157" t="s">
        <v>195</v>
      </c>
      <c r="C76" s="157" t="s">
        <v>203</v>
      </c>
      <c r="D76" s="157" t="s">
        <v>190</v>
      </c>
      <c r="E76" s="157" t="s">
        <v>261</v>
      </c>
      <c r="F76" s="155"/>
      <c r="G76" s="54"/>
      <c r="H76" s="54"/>
      <c r="I76" s="54"/>
      <c r="J76" s="54"/>
      <c r="K76" s="54"/>
      <c r="L76" s="54">
        <f>L77</f>
        <v>244.056</v>
      </c>
      <c r="M76" s="54"/>
      <c r="N76" s="73"/>
      <c r="O76" s="82"/>
      <c r="P76" s="82"/>
      <c r="Q76" s="82"/>
      <c r="R76" s="83">
        <f>R77</f>
        <v>244.056</v>
      </c>
      <c r="S76" s="56"/>
    </row>
    <row r="77" spans="1:19" ht="12.75">
      <c r="A77" s="164" t="s">
        <v>262</v>
      </c>
      <c r="B77" s="157" t="s">
        <v>195</v>
      </c>
      <c r="C77" s="157" t="s">
        <v>203</v>
      </c>
      <c r="D77" s="157" t="s">
        <v>190</v>
      </c>
      <c r="E77" s="157" t="s">
        <v>261</v>
      </c>
      <c r="F77" s="157" t="s">
        <v>195</v>
      </c>
      <c r="G77" s="54"/>
      <c r="H77" s="54"/>
      <c r="I77" s="54"/>
      <c r="J77" s="54"/>
      <c r="K77" s="54"/>
      <c r="L77" s="57">
        <v>244.056</v>
      </c>
      <c r="M77" s="54"/>
      <c r="N77" s="73"/>
      <c r="O77" s="82"/>
      <c r="P77" s="82"/>
      <c r="Q77" s="82"/>
      <c r="R77" s="83">
        <f>L77</f>
        <v>244.056</v>
      </c>
      <c r="S77" s="56"/>
    </row>
    <row r="78" spans="1:19" ht="51">
      <c r="A78" s="156" t="s">
        <v>263</v>
      </c>
      <c r="B78" s="157" t="s">
        <v>195</v>
      </c>
      <c r="C78" s="157" t="s">
        <v>203</v>
      </c>
      <c r="D78" s="157" t="s">
        <v>190</v>
      </c>
      <c r="E78" s="157" t="s">
        <v>264</v>
      </c>
      <c r="F78" s="157"/>
      <c r="G78" s="57">
        <f aca="true" t="shared" si="21" ref="G78:R78">G79</f>
        <v>982.7</v>
      </c>
      <c r="H78" s="57">
        <f t="shared" si="21"/>
        <v>0</v>
      </c>
      <c r="I78" s="57">
        <f t="shared" si="21"/>
        <v>0</v>
      </c>
      <c r="J78" s="57">
        <f t="shared" si="21"/>
        <v>0</v>
      </c>
      <c r="K78" s="57">
        <f t="shared" si="21"/>
        <v>0</v>
      </c>
      <c r="L78" s="57">
        <f t="shared" si="21"/>
        <v>0</v>
      </c>
      <c r="M78" s="57">
        <f t="shared" si="21"/>
        <v>0</v>
      </c>
      <c r="N78" s="74"/>
      <c r="O78" s="84"/>
      <c r="P78" s="84"/>
      <c r="Q78" s="84"/>
      <c r="R78" s="85">
        <f t="shared" si="21"/>
        <v>982.7</v>
      </c>
      <c r="S78" s="56"/>
    </row>
    <row r="79" spans="1:19" ht="25.5">
      <c r="A79" s="156" t="s">
        <v>200</v>
      </c>
      <c r="B79" s="157" t="s">
        <v>195</v>
      </c>
      <c r="C79" s="157" t="s">
        <v>203</v>
      </c>
      <c r="D79" s="157" t="s">
        <v>190</v>
      </c>
      <c r="E79" s="157" t="s">
        <v>264</v>
      </c>
      <c r="F79" s="157">
        <v>500</v>
      </c>
      <c r="G79" s="57">
        <v>982.7</v>
      </c>
      <c r="H79" s="58"/>
      <c r="I79" s="58"/>
      <c r="J79" s="58"/>
      <c r="K79" s="58"/>
      <c r="L79" s="58"/>
      <c r="M79" s="58"/>
      <c r="N79" s="75"/>
      <c r="O79" s="86"/>
      <c r="P79" s="86"/>
      <c r="Q79" s="86"/>
      <c r="R79" s="87">
        <f>G79+H79+I79</f>
        <v>982.7</v>
      </c>
      <c r="S79" s="56"/>
    </row>
    <row r="80" spans="1:19" ht="51">
      <c r="A80" s="156" t="s">
        <v>265</v>
      </c>
      <c r="B80" s="157" t="s">
        <v>195</v>
      </c>
      <c r="C80" s="157" t="s">
        <v>203</v>
      </c>
      <c r="D80" s="157" t="s">
        <v>190</v>
      </c>
      <c r="E80" s="157" t="s">
        <v>266</v>
      </c>
      <c r="F80" s="157"/>
      <c r="G80" s="57">
        <f aca="true" t="shared" si="22" ref="G80:R80">G81</f>
        <v>51.375</v>
      </c>
      <c r="H80" s="57">
        <f t="shared" si="22"/>
        <v>0</v>
      </c>
      <c r="I80" s="57">
        <f t="shared" si="22"/>
        <v>0</v>
      </c>
      <c r="J80" s="57">
        <f t="shared" si="22"/>
        <v>0</v>
      </c>
      <c r="K80" s="57">
        <f t="shared" si="22"/>
        <v>0</v>
      </c>
      <c r="L80" s="57">
        <f t="shared" si="22"/>
        <v>0</v>
      </c>
      <c r="M80" s="57">
        <f t="shared" si="22"/>
        <v>0</v>
      </c>
      <c r="N80" s="74"/>
      <c r="O80" s="84"/>
      <c r="P80" s="84"/>
      <c r="Q80" s="84"/>
      <c r="R80" s="85">
        <f t="shared" si="22"/>
        <v>51.375</v>
      </c>
      <c r="S80" s="56"/>
    </row>
    <row r="81" spans="1:19" ht="25.5">
      <c r="A81" s="156" t="s">
        <v>200</v>
      </c>
      <c r="B81" s="157" t="s">
        <v>195</v>
      </c>
      <c r="C81" s="157" t="s">
        <v>203</v>
      </c>
      <c r="D81" s="157" t="s">
        <v>190</v>
      </c>
      <c r="E81" s="157" t="s">
        <v>266</v>
      </c>
      <c r="F81" s="157">
        <v>500</v>
      </c>
      <c r="G81" s="57">
        <v>51.375</v>
      </c>
      <c r="H81" s="58"/>
      <c r="I81" s="58"/>
      <c r="J81" s="58"/>
      <c r="K81" s="58"/>
      <c r="L81" s="58"/>
      <c r="M81" s="58"/>
      <c r="N81" s="75"/>
      <c r="O81" s="86"/>
      <c r="P81" s="86"/>
      <c r="Q81" s="86"/>
      <c r="R81" s="87">
        <f>G81+H81+I81</f>
        <v>51.375</v>
      </c>
      <c r="S81" s="56"/>
    </row>
    <row r="82" spans="1:19" ht="25.5">
      <c r="A82" s="158" t="s">
        <v>267</v>
      </c>
      <c r="B82" s="155"/>
      <c r="C82" s="155" t="s">
        <v>203</v>
      </c>
      <c r="D82" s="155" t="s">
        <v>196</v>
      </c>
      <c r="E82" s="155"/>
      <c r="F82" s="155"/>
      <c r="G82" s="54"/>
      <c r="H82" s="58"/>
      <c r="I82" s="58"/>
      <c r="J82" s="58"/>
      <c r="K82" s="58"/>
      <c r="L82" s="58"/>
      <c r="M82" s="58"/>
      <c r="N82" s="75"/>
      <c r="O82" s="86"/>
      <c r="P82" s="86"/>
      <c r="Q82" s="86"/>
      <c r="R82" s="87"/>
      <c r="S82" s="56"/>
    </row>
    <row r="83" spans="1:19" ht="25.5">
      <c r="A83" s="159" t="s">
        <v>268</v>
      </c>
      <c r="B83" s="157" t="s">
        <v>195</v>
      </c>
      <c r="C83" s="157" t="s">
        <v>203</v>
      </c>
      <c r="D83" s="157" t="s">
        <v>196</v>
      </c>
      <c r="E83" s="157" t="s">
        <v>269</v>
      </c>
      <c r="F83" s="157"/>
      <c r="G83" s="57"/>
      <c r="H83" s="58"/>
      <c r="I83" s="58"/>
      <c r="J83" s="58"/>
      <c r="K83" s="58"/>
      <c r="L83" s="58"/>
      <c r="M83" s="58"/>
      <c r="N83" s="75"/>
      <c r="O83" s="86"/>
      <c r="P83" s="86"/>
      <c r="Q83" s="86"/>
      <c r="R83" s="87"/>
      <c r="S83" s="56"/>
    </row>
    <row r="84" spans="1:19" ht="12.75">
      <c r="A84" s="156" t="s">
        <v>270</v>
      </c>
      <c r="B84" s="157" t="s">
        <v>195</v>
      </c>
      <c r="C84" s="157" t="s">
        <v>203</v>
      </c>
      <c r="D84" s="157" t="s">
        <v>196</v>
      </c>
      <c r="E84" s="157" t="s">
        <v>269</v>
      </c>
      <c r="F84" s="157" t="s">
        <v>271</v>
      </c>
      <c r="G84" s="57"/>
      <c r="H84" s="58"/>
      <c r="I84" s="58"/>
      <c r="J84" s="58"/>
      <c r="K84" s="58"/>
      <c r="L84" s="58"/>
      <c r="M84" s="58"/>
      <c r="N84" s="75"/>
      <c r="O84" s="86"/>
      <c r="P84" s="86"/>
      <c r="Q84" s="86"/>
      <c r="R84" s="87"/>
      <c r="S84" s="56"/>
    </row>
    <row r="85" spans="1:19" ht="25.5">
      <c r="A85" s="158" t="s">
        <v>272</v>
      </c>
      <c r="B85" s="155"/>
      <c r="C85" s="155" t="s">
        <v>203</v>
      </c>
      <c r="D85" s="155" t="s">
        <v>273</v>
      </c>
      <c r="E85" s="155"/>
      <c r="F85" s="155"/>
      <c r="G85" s="54">
        <f>G86</f>
        <v>300</v>
      </c>
      <c r="H85" s="54">
        <f aca="true" t="shared" si="23" ref="H85:R86">H86</f>
        <v>0</v>
      </c>
      <c r="I85" s="54">
        <f t="shared" si="23"/>
        <v>0</v>
      </c>
      <c r="J85" s="54">
        <f t="shared" si="23"/>
        <v>0</v>
      </c>
      <c r="K85" s="54">
        <f t="shared" si="23"/>
        <v>0</v>
      </c>
      <c r="L85" s="54">
        <f t="shared" si="23"/>
        <v>0</v>
      </c>
      <c r="M85" s="54">
        <f t="shared" si="23"/>
        <v>0</v>
      </c>
      <c r="N85" s="73">
        <f t="shared" si="23"/>
        <v>0</v>
      </c>
      <c r="O85" s="82">
        <f t="shared" si="23"/>
        <v>0</v>
      </c>
      <c r="P85" s="82"/>
      <c r="Q85" s="82"/>
      <c r="R85" s="83">
        <f t="shared" si="23"/>
        <v>300</v>
      </c>
      <c r="S85" s="56"/>
    </row>
    <row r="86" spans="1:19" ht="25.5">
      <c r="A86" s="159" t="s">
        <v>250</v>
      </c>
      <c r="B86" s="157" t="s">
        <v>195</v>
      </c>
      <c r="C86" s="157" t="s">
        <v>203</v>
      </c>
      <c r="D86" s="157" t="s">
        <v>273</v>
      </c>
      <c r="E86" s="157" t="s">
        <v>251</v>
      </c>
      <c r="F86" s="157"/>
      <c r="G86" s="57">
        <f>G87</f>
        <v>300</v>
      </c>
      <c r="H86" s="57">
        <f t="shared" si="23"/>
        <v>0</v>
      </c>
      <c r="I86" s="57">
        <f t="shared" si="23"/>
        <v>0</v>
      </c>
      <c r="J86" s="57">
        <f t="shared" si="23"/>
        <v>0</v>
      </c>
      <c r="K86" s="57">
        <f t="shared" si="23"/>
        <v>0</v>
      </c>
      <c r="L86" s="57">
        <f t="shared" si="23"/>
        <v>0</v>
      </c>
      <c r="M86" s="57">
        <f t="shared" si="23"/>
        <v>0</v>
      </c>
      <c r="N86" s="74"/>
      <c r="O86" s="84"/>
      <c r="P86" s="84"/>
      <c r="Q86" s="84"/>
      <c r="R86" s="85">
        <f t="shared" si="23"/>
        <v>300</v>
      </c>
      <c r="S86" s="56"/>
    </row>
    <row r="87" spans="1:19" ht="38.25">
      <c r="A87" s="159" t="s">
        <v>274</v>
      </c>
      <c r="B87" s="157" t="s">
        <v>195</v>
      </c>
      <c r="C87" s="157" t="s">
        <v>203</v>
      </c>
      <c r="D87" s="157" t="s">
        <v>273</v>
      </c>
      <c r="E87" s="157" t="s">
        <v>251</v>
      </c>
      <c r="F87" s="157" t="s">
        <v>275</v>
      </c>
      <c r="G87" s="57">
        <v>300</v>
      </c>
      <c r="H87" s="58"/>
      <c r="I87" s="58"/>
      <c r="J87" s="58"/>
      <c r="K87" s="58"/>
      <c r="L87" s="58"/>
      <c r="M87" s="58"/>
      <c r="N87" s="75"/>
      <c r="O87" s="86"/>
      <c r="P87" s="86"/>
      <c r="Q87" s="86"/>
      <c r="R87" s="87">
        <f>G87+H87+I87</f>
        <v>300</v>
      </c>
      <c r="S87" s="56"/>
    </row>
    <row r="88" spans="1:19" s="165" customFormat="1" ht="12.75">
      <c r="A88" s="158"/>
      <c r="B88" s="155"/>
      <c r="C88" s="155" t="s">
        <v>203</v>
      </c>
      <c r="D88" s="155" t="s">
        <v>306</v>
      </c>
      <c r="E88" s="155"/>
      <c r="F88" s="155"/>
      <c r="G88" s="54"/>
      <c r="H88" s="62"/>
      <c r="I88" s="62"/>
      <c r="J88" s="62"/>
      <c r="K88" s="62"/>
      <c r="L88" s="62"/>
      <c r="M88" s="62"/>
      <c r="N88" s="79">
        <f aca="true" t="shared" si="24" ref="N88:P89">N89</f>
        <v>3118.8</v>
      </c>
      <c r="O88" s="94">
        <f t="shared" si="24"/>
        <v>0</v>
      </c>
      <c r="P88" s="94">
        <f t="shared" si="24"/>
        <v>313.08115</v>
      </c>
      <c r="Q88" s="94"/>
      <c r="R88" s="94">
        <f>R89</f>
        <v>3431.88115</v>
      </c>
      <c r="S88" s="65"/>
    </row>
    <row r="89" spans="1:19" ht="51">
      <c r="A89" s="161" t="s">
        <v>487</v>
      </c>
      <c r="B89" s="157" t="s">
        <v>195</v>
      </c>
      <c r="C89" s="157" t="s">
        <v>203</v>
      </c>
      <c r="D89" s="157" t="s">
        <v>306</v>
      </c>
      <c r="E89" s="157" t="s">
        <v>486</v>
      </c>
      <c r="F89" s="157"/>
      <c r="G89" s="57"/>
      <c r="H89" s="58"/>
      <c r="I89" s="58"/>
      <c r="J89" s="58"/>
      <c r="K89" s="58"/>
      <c r="L89" s="58"/>
      <c r="M89" s="58"/>
      <c r="N89" s="75">
        <f t="shared" si="24"/>
        <v>3118.8</v>
      </c>
      <c r="O89" s="86">
        <f t="shared" si="24"/>
        <v>0</v>
      </c>
      <c r="P89" s="86">
        <f t="shared" si="24"/>
        <v>313.08115</v>
      </c>
      <c r="Q89" s="86"/>
      <c r="R89" s="86">
        <f>R90</f>
        <v>3431.88115</v>
      </c>
      <c r="S89" s="56"/>
    </row>
    <row r="90" spans="1:19" ht="12.75">
      <c r="A90" s="164" t="s">
        <v>164</v>
      </c>
      <c r="B90" s="157" t="s">
        <v>195</v>
      </c>
      <c r="C90" s="157" t="s">
        <v>203</v>
      </c>
      <c r="D90" s="157" t="s">
        <v>306</v>
      </c>
      <c r="E90" s="157" t="s">
        <v>486</v>
      </c>
      <c r="F90" s="157" t="s">
        <v>450</v>
      </c>
      <c r="G90" s="57"/>
      <c r="H90" s="58"/>
      <c r="I90" s="58"/>
      <c r="J90" s="58"/>
      <c r="K90" s="58"/>
      <c r="L90" s="58"/>
      <c r="M90" s="58"/>
      <c r="N90" s="75">
        <v>3118.8</v>
      </c>
      <c r="O90" s="86"/>
      <c r="P90" s="86">
        <v>313.08115</v>
      </c>
      <c r="Q90" s="86"/>
      <c r="R90" s="87">
        <f>N90+P90</f>
        <v>3431.88115</v>
      </c>
      <c r="S90" s="56"/>
    </row>
    <row r="91" spans="1:19" ht="12.75">
      <c r="A91" s="154" t="s">
        <v>276</v>
      </c>
      <c r="B91" s="155"/>
      <c r="C91" s="155" t="s">
        <v>203</v>
      </c>
      <c r="D91" s="155" t="s">
        <v>277</v>
      </c>
      <c r="E91" s="155"/>
      <c r="F91" s="155"/>
      <c r="G91" s="54">
        <f aca="true" t="shared" si="25" ref="G91:R91">G92+G94</f>
        <v>7000</v>
      </c>
      <c r="H91" s="54">
        <f t="shared" si="25"/>
        <v>0</v>
      </c>
      <c r="I91" s="54">
        <f t="shared" si="25"/>
        <v>-1000</v>
      </c>
      <c r="J91" s="54">
        <f t="shared" si="25"/>
        <v>0</v>
      </c>
      <c r="K91" s="54">
        <f t="shared" si="25"/>
        <v>1000</v>
      </c>
      <c r="L91" s="54">
        <f t="shared" si="25"/>
        <v>0</v>
      </c>
      <c r="M91" s="54">
        <f t="shared" si="25"/>
        <v>0</v>
      </c>
      <c r="N91" s="73">
        <f t="shared" si="25"/>
        <v>0</v>
      </c>
      <c r="O91" s="82">
        <f t="shared" si="25"/>
        <v>0</v>
      </c>
      <c r="P91" s="82"/>
      <c r="Q91" s="82"/>
      <c r="R91" s="83">
        <f t="shared" si="25"/>
        <v>7000</v>
      </c>
      <c r="S91" s="56"/>
    </row>
    <row r="92" spans="1:19" ht="25.5">
      <c r="A92" s="156" t="s">
        <v>278</v>
      </c>
      <c r="B92" s="157" t="s">
        <v>195</v>
      </c>
      <c r="C92" s="157" t="s">
        <v>203</v>
      </c>
      <c r="D92" s="157" t="s">
        <v>277</v>
      </c>
      <c r="E92" s="157" t="s">
        <v>279</v>
      </c>
      <c r="F92" s="157"/>
      <c r="G92" s="57">
        <f aca="true" t="shared" si="26" ref="G92:R92">G93</f>
        <v>7000</v>
      </c>
      <c r="H92" s="57">
        <f t="shared" si="26"/>
        <v>0</v>
      </c>
      <c r="I92" s="57">
        <f t="shared" si="26"/>
        <v>-1000</v>
      </c>
      <c r="J92" s="57">
        <f t="shared" si="26"/>
        <v>0</v>
      </c>
      <c r="K92" s="57">
        <f t="shared" si="26"/>
        <v>1000</v>
      </c>
      <c r="L92" s="57">
        <f t="shared" si="26"/>
        <v>0</v>
      </c>
      <c r="M92" s="57">
        <f t="shared" si="26"/>
        <v>0</v>
      </c>
      <c r="N92" s="74"/>
      <c r="O92" s="84"/>
      <c r="P92" s="84"/>
      <c r="Q92" s="84"/>
      <c r="R92" s="85">
        <f t="shared" si="26"/>
        <v>7000</v>
      </c>
      <c r="S92" s="56"/>
    </row>
    <row r="93" spans="1:19" ht="12.75">
      <c r="A93" s="156" t="s">
        <v>270</v>
      </c>
      <c r="B93" s="157" t="s">
        <v>195</v>
      </c>
      <c r="C93" s="157" t="s">
        <v>203</v>
      </c>
      <c r="D93" s="157" t="s">
        <v>277</v>
      </c>
      <c r="E93" s="157" t="s">
        <v>279</v>
      </c>
      <c r="F93" s="157" t="s">
        <v>271</v>
      </c>
      <c r="G93" s="57">
        <v>7000</v>
      </c>
      <c r="H93" s="58"/>
      <c r="I93" s="58">
        <v>-1000</v>
      </c>
      <c r="J93" s="58"/>
      <c r="K93" s="58">
        <v>1000</v>
      </c>
      <c r="L93" s="58"/>
      <c r="M93" s="58"/>
      <c r="N93" s="75"/>
      <c r="O93" s="86"/>
      <c r="P93" s="86"/>
      <c r="Q93" s="86"/>
      <c r="R93" s="86">
        <f>G93+H93+I93+K93</f>
        <v>7000</v>
      </c>
      <c r="S93" s="56"/>
    </row>
    <row r="94" spans="1:19" ht="25.5">
      <c r="A94" s="156" t="s">
        <v>278</v>
      </c>
      <c r="B94" s="157" t="s">
        <v>195</v>
      </c>
      <c r="C94" s="157" t="s">
        <v>203</v>
      </c>
      <c r="D94" s="157" t="s">
        <v>277</v>
      </c>
      <c r="E94" s="157" t="s">
        <v>279</v>
      </c>
      <c r="F94" s="157"/>
      <c r="G94" s="57">
        <f aca="true" t="shared" si="27" ref="G94:R94">G95</f>
        <v>0</v>
      </c>
      <c r="H94" s="57">
        <f t="shared" si="27"/>
        <v>0</v>
      </c>
      <c r="I94" s="57">
        <f t="shared" si="27"/>
        <v>0</v>
      </c>
      <c r="J94" s="57">
        <f t="shared" si="27"/>
        <v>0</v>
      </c>
      <c r="K94" s="57">
        <f t="shared" si="27"/>
        <v>0</v>
      </c>
      <c r="L94" s="57">
        <f t="shared" si="27"/>
        <v>0</v>
      </c>
      <c r="M94" s="57">
        <f t="shared" si="27"/>
        <v>0</v>
      </c>
      <c r="N94" s="74"/>
      <c r="O94" s="84"/>
      <c r="P94" s="84"/>
      <c r="Q94" s="84"/>
      <c r="R94" s="85">
        <f t="shared" si="27"/>
        <v>0</v>
      </c>
      <c r="S94" s="56"/>
    </row>
    <row r="95" spans="1:19" ht="25.5">
      <c r="A95" s="156" t="s">
        <v>200</v>
      </c>
      <c r="B95" s="157" t="s">
        <v>195</v>
      </c>
      <c r="C95" s="157" t="s">
        <v>203</v>
      </c>
      <c r="D95" s="157" t="s">
        <v>277</v>
      </c>
      <c r="E95" s="157" t="s">
        <v>279</v>
      </c>
      <c r="F95" s="157" t="s">
        <v>208</v>
      </c>
      <c r="G95" s="57"/>
      <c r="H95" s="58"/>
      <c r="I95" s="58"/>
      <c r="J95" s="58"/>
      <c r="K95" s="58"/>
      <c r="L95" s="58"/>
      <c r="M95" s="58"/>
      <c r="N95" s="75"/>
      <c r="O95" s="86"/>
      <c r="P95" s="86"/>
      <c r="Q95" s="86"/>
      <c r="R95" s="87">
        <f>G95+H95+I95</f>
        <v>0</v>
      </c>
      <c r="S95" s="56"/>
    </row>
    <row r="96" spans="1:19" ht="12.75">
      <c r="A96" s="154" t="s">
        <v>280</v>
      </c>
      <c r="B96" s="155"/>
      <c r="C96" s="155" t="s">
        <v>203</v>
      </c>
      <c r="D96" s="155" t="s">
        <v>255</v>
      </c>
      <c r="E96" s="155"/>
      <c r="F96" s="155"/>
      <c r="G96" s="54">
        <f>G97</f>
        <v>20000</v>
      </c>
      <c r="H96" s="54">
        <f aca="true" t="shared" si="28" ref="H96:R97">H97</f>
        <v>0</v>
      </c>
      <c r="I96" s="54">
        <f t="shared" si="28"/>
        <v>0</v>
      </c>
      <c r="J96" s="54">
        <f t="shared" si="28"/>
        <v>-1000</v>
      </c>
      <c r="K96" s="54">
        <f t="shared" si="28"/>
        <v>0</v>
      </c>
      <c r="L96" s="54">
        <f t="shared" si="28"/>
        <v>0</v>
      </c>
      <c r="M96" s="54">
        <f t="shared" si="28"/>
        <v>0</v>
      </c>
      <c r="N96" s="73">
        <f t="shared" si="28"/>
        <v>0</v>
      </c>
      <c r="O96" s="82">
        <f t="shared" si="28"/>
        <v>0</v>
      </c>
      <c r="P96" s="82"/>
      <c r="Q96" s="82"/>
      <c r="R96" s="83">
        <f t="shared" si="28"/>
        <v>19000</v>
      </c>
      <c r="S96" s="56"/>
    </row>
    <row r="97" spans="1:19" ht="25.5">
      <c r="A97" s="156" t="s">
        <v>281</v>
      </c>
      <c r="B97" s="157" t="s">
        <v>195</v>
      </c>
      <c r="C97" s="157" t="s">
        <v>203</v>
      </c>
      <c r="D97" s="157" t="s">
        <v>255</v>
      </c>
      <c r="E97" s="157" t="s">
        <v>282</v>
      </c>
      <c r="F97" s="157"/>
      <c r="G97" s="57">
        <f>G98</f>
        <v>20000</v>
      </c>
      <c r="H97" s="57">
        <f t="shared" si="28"/>
        <v>0</v>
      </c>
      <c r="I97" s="57">
        <f t="shared" si="28"/>
        <v>0</v>
      </c>
      <c r="J97" s="57">
        <f t="shared" si="28"/>
        <v>-1000</v>
      </c>
      <c r="K97" s="57">
        <f t="shared" si="28"/>
        <v>0</v>
      </c>
      <c r="L97" s="57">
        <f t="shared" si="28"/>
        <v>0</v>
      </c>
      <c r="M97" s="57">
        <f t="shared" si="28"/>
        <v>0</v>
      </c>
      <c r="N97" s="74"/>
      <c r="O97" s="84"/>
      <c r="P97" s="84"/>
      <c r="Q97" s="84"/>
      <c r="R97" s="85">
        <f t="shared" si="28"/>
        <v>19000</v>
      </c>
      <c r="S97" s="56"/>
    </row>
    <row r="98" spans="1:19" ht="25.5">
      <c r="A98" s="156" t="s">
        <v>200</v>
      </c>
      <c r="B98" s="157" t="s">
        <v>195</v>
      </c>
      <c r="C98" s="157" t="s">
        <v>203</v>
      </c>
      <c r="D98" s="157" t="s">
        <v>255</v>
      </c>
      <c r="E98" s="157" t="s">
        <v>282</v>
      </c>
      <c r="F98" s="157" t="s">
        <v>208</v>
      </c>
      <c r="G98" s="57">
        <v>20000</v>
      </c>
      <c r="H98" s="58"/>
      <c r="I98" s="58"/>
      <c r="J98" s="58">
        <v>-1000</v>
      </c>
      <c r="K98" s="58"/>
      <c r="L98" s="58"/>
      <c r="M98" s="58"/>
      <c r="N98" s="75"/>
      <c r="O98" s="86"/>
      <c r="P98" s="86"/>
      <c r="Q98" s="86"/>
      <c r="R98" s="86">
        <f>G98+H98+I98+J98</f>
        <v>19000</v>
      </c>
      <c r="S98" s="56"/>
    </row>
    <row r="99" spans="1:19" ht="25.5">
      <c r="A99" s="158" t="s">
        <v>283</v>
      </c>
      <c r="B99" s="155"/>
      <c r="C99" s="155" t="s">
        <v>203</v>
      </c>
      <c r="D99" s="155" t="s">
        <v>220</v>
      </c>
      <c r="E99" s="155"/>
      <c r="F99" s="155"/>
      <c r="G99" s="54">
        <f>G106+G112+G102+G104</f>
        <v>16885.2</v>
      </c>
      <c r="H99" s="54">
        <f>H106+H112+H102+H104</f>
        <v>3289.9</v>
      </c>
      <c r="I99" s="54">
        <f>I106+I112+I102+I104</f>
        <v>0</v>
      </c>
      <c r="J99" s="54">
        <f>J106+J112+J102+J104</f>
        <v>200</v>
      </c>
      <c r="K99" s="54">
        <f>K106+K112+K102+K104</f>
        <v>-14999.9</v>
      </c>
      <c r="L99" s="54">
        <f>L100+L102+L104+L106+L108+L110</f>
        <v>4881.6</v>
      </c>
      <c r="M99" s="54">
        <f>M100+M102+M104+M106+M108+M110</f>
        <v>-750</v>
      </c>
      <c r="N99" s="73">
        <f>N100+N102+N104+N106+N108+N110</f>
        <v>750</v>
      </c>
      <c r="O99" s="82">
        <f>O100+O102+O104+O106+O108+O110</f>
        <v>200</v>
      </c>
      <c r="P99" s="82">
        <f>P100+P102+P104+P106</f>
        <v>700</v>
      </c>
      <c r="Q99" s="82"/>
      <c r="R99" s="83">
        <f>R100+R102+R104+R106+R108+R110+R112</f>
        <v>11156.8</v>
      </c>
      <c r="S99" s="56"/>
    </row>
    <row r="100" spans="1:19" ht="51">
      <c r="A100" s="161" t="s">
        <v>284</v>
      </c>
      <c r="B100" s="157" t="s">
        <v>195</v>
      </c>
      <c r="C100" s="157" t="s">
        <v>203</v>
      </c>
      <c r="D100" s="157" t="s">
        <v>220</v>
      </c>
      <c r="E100" s="157" t="s">
        <v>285</v>
      </c>
      <c r="F100" s="157"/>
      <c r="G100" s="54"/>
      <c r="H100" s="54"/>
      <c r="I100" s="54"/>
      <c r="J100" s="54"/>
      <c r="K100" s="54"/>
      <c r="L100" s="57">
        <f>L101</f>
        <v>100</v>
      </c>
      <c r="M100" s="57">
        <f>M101</f>
        <v>0</v>
      </c>
      <c r="N100" s="74"/>
      <c r="O100" s="84"/>
      <c r="P100" s="84">
        <f>P101</f>
        <v>250</v>
      </c>
      <c r="Q100" s="84"/>
      <c r="R100" s="85">
        <f>R101</f>
        <v>350</v>
      </c>
      <c r="S100" s="56"/>
    </row>
    <row r="101" spans="1:19" ht="25.5">
      <c r="A101" s="156" t="s">
        <v>232</v>
      </c>
      <c r="B101" s="157" t="s">
        <v>195</v>
      </c>
      <c r="C101" s="157" t="s">
        <v>203</v>
      </c>
      <c r="D101" s="157" t="s">
        <v>220</v>
      </c>
      <c r="E101" s="157" t="s">
        <v>285</v>
      </c>
      <c r="F101" s="157" t="s">
        <v>233</v>
      </c>
      <c r="G101" s="54"/>
      <c r="H101" s="54"/>
      <c r="I101" s="54"/>
      <c r="J101" s="54"/>
      <c r="K101" s="54"/>
      <c r="L101" s="57">
        <v>100</v>
      </c>
      <c r="M101" s="57"/>
      <c r="N101" s="74"/>
      <c r="O101" s="84"/>
      <c r="P101" s="84">
        <v>250</v>
      </c>
      <c r="Q101" s="84"/>
      <c r="R101" s="85">
        <f>L101+P101</f>
        <v>350</v>
      </c>
      <c r="S101" s="56"/>
    </row>
    <row r="102" spans="1:19" ht="25.5">
      <c r="A102" s="163" t="s">
        <v>230</v>
      </c>
      <c r="B102" s="157" t="s">
        <v>195</v>
      </c>
      <c r="C102" s="157" t="s">
        <v>203</v>
      </c>
      <c r="D102" s="157" t="s">
        <v>220</v>
      </c>
      <c r="E102" s="157" t="s">
        <v>286</v>
      </c>
      <c r="F102" s="157"/>
      <c r="G102" s="57">
        <f aca="true" t="shared" si="29" ref="G102:R102">G103</f>
        <v>3205.2</v>
      </c>
      <c r="H102" s="57">
        <f t="shared" si="29"/>
        <v>120</v>
      </c>
      <c r="I102" s="57">
        <f t="shared" si="29"/>
        <v>0</v>
      </c>
      <c r="J102" s="57">
        <f t="shared" si="29"/>
        <v>0</v>
      </c>
      <c r="K102" s="57">
        <f t="shared" si="29"/>
        <v>0</v>
      </c>
      <c r="L102" s="57">
        <f t="shared" si="29"/>
        <v>400</v>
      </c>
      <c r="M102" s="57">
        <f t="shared" si="29"/>
        <v>0</v>
      </c>
      <c r="N102" s="74"/>
      <c r="O102" s="84"/>
      <c r="P102" s="84">
        <f>P103</f>
        <v>0</v>
      </c>
      <c r="Q102" s="84"/>
      <c r="R102" s="85">
        <f t="shared" si="29"/>
        <v>3725.2</v>
      </c>
      <c r="S102" s="56"/>
    </row>
    <row r="103" spans="1:19" ht="25.5">
      <c r="A103" s="156" t="s">
        <v>232</v>
      </c>
      <c r="B103" s="157" t="s">
        <v>195</v>
      </c>
      <c r="C103" s="157" t="s">
        <v>203</v>
      </c>
      <c r="D103" s="157" t="s">
        <v>220</v>
      </c>
      <c r="E103" s="157" t="s">
        <v>286</v>
      </c>
      <c r="F103" s="157" t="s">
        <v>233</v>
      </c>
      <c r="G103" s="57">
        <f>3205.2</f>
        <v>3205.2</v>
      </c>
      <c r="H103" s="58">
        <v>120</v>
      </c>
      <c r="I103" s="58"/>
      <c r="J103" s="58"/>
      <c r="K103" s="58"/>
      <c r="L103" s="58">
        <v>400</v>
      </c>
      <c r="M103" s="58"/>
      <c r="N103" s="75"/>
      <c r="O103" s="86"/>
      <c r="P103" s="86"/>
      <c r="Q103" s="86"/>
      <c r="R103" s="87">
        <f>G103+H103+I103+J103+L103+P103</f>
        <v>3725.2</v>
      </c>
      <c r="S103" s="56"/>
    </row>
    <row r="104" spans="1:19" ht="25.5">
      <c r="A104" s="163" t="s">
        <v>230</v>
      </c>
      <c r="B104" s="157" t="s">
        <v>195</v>
      </c>
      <c r="C104" s="157" t="s">
        <v>203</v>
      </c>
      <c r="D104" s="157" t="s">
        <v>220</v>
      </c>
      <c r="E104" s="157" t="s">
        <v>231</v>
      </c>
      <c r="F104" s="157"/>
      <c r="G104" s="57">
        <f aca="true" t="shared" si="30" ref="G104:R104">G105</f>
        <v>12830</v>
      </c>
      <c r="H104" s="57">
        <f t="shared" si="30"/>
        <v>2169.9</v>
      </c>
      <c r="I104" s="57">
        <f t="shared" si="30"/>
        <v>0</v>
      </c>
      <c r="J104" s="57">
        <f t="shared" si="30"/>
        <v>0</v>
      </c>
      <c r="K104" s="57">
        <f t="shared" si="30"/>
        <v>-14999.9</v>
      </c>
      <c r="L104" s="57">
        <f t="shared" si="30"/>
        <v>0</v>
      </c>
      <c r="M104" s="57">
        <f t="shared" si="30"/>
        <v>0</v>
      </c>
      <c r="N104" s="74"/>
      <c r="O104" s="84"/>
      <c r="P104" s="84"/>
      <c r="Q104" s="84"/>
      <c r="R104" s="85">
        <f t="shared" si="30"/>
        <v>0</v>
      </c>
      <c r="S104" s="56"/>
    </row>
    <row r="105" spans="1:19" ht="25.5">
      <c r="A105" s="156" t="s">
        <v>232</v>
      </c>
      <c r="B105" s="157" t="s">
        <v>195</v>
      </c>
      <c r="C105" s="157" t="s">
        <v>203</v>
      </c>
      <c r="D105" s="157" t="s">
        <v>220</v>
      </c>
      <c r="E105" s="157" t="s">
        <v>231</v>
      </c>
      <c r="F105" s="157" t="s">
        <v>233</v>
      </c>
      <c r="G105" s="57">
        <v>12830</v>
      </c>
      <c r="H105" s="58">
        <v>2169.9</v>
      </c>
      <c r="I105" s="58"/>
      <c r="J105" s="58"/>
      <c r="K105" s="58">
        <v>-14999.9</v>
      </c>
      <c r="L105" s="58"/>
      <c r="M105" s="58"/>
      <c r="N105" s="75"/>
      <c r="O105" s="86"/>
      <c r="P105" s="86"/>
      <c r="Q105" s="86"/>
      <c r="R105" s="87">
        <f>G105+H105+I105+K105</f>
        <v>0</v>
      </c>
      <c r="S105" s="56"/>
    </row>
    <row r="106" spans="1:19" ht="25.5">
      <c r="A106" s="156" t="s">
        <v>287</v>
      </c>
      <c r="B106" s="157" t="s">
        <v>195</v>
      </c>
      <c r="C106" s="157" t="s">
        <v>203</v>
      </c>
      <c r="D106" s="157">
        <v>12</v>
      </c>
      <c r="E106" s="157" t="s">
        <v>288</v>
      </c>
      <c r="F106" s="157"/>
      <c r="G106" s="57">
        <f aca="true" t="shared" si="31" ref="G106:R106">G107</f>
        <v>750</v>
      </c>
      <c r="H106" s="57">
        <f t="shared" si="31"/>
        <v>0</v>
      </c>
      <c r="I106" s="57">
        <f t="shared" si="31"/>
        <v>0</v>
      </c>
      <c r="J106" s="57">
        <f t="shared" si="31"/>
        <v>200</v>
      </c>
      <c r="K106" s="57">
        <f t="shared" si="31"/>
        <v>0</v>
      </c>
      <c r="L106" s="57">
        <f t="shared" si="31"/>
        <v>100</v>
      </c>
      <c r="M106" s="57">
        <f t="shared" si="31"/>
        <v>-750</v>
      </c>
      <c r="N106" s="74">
        <f t="shared" si="31"/>
        <v>750</v>
      </c>
      <c r="O106" s="84">
        <f t="shared" si="31"/>
        <v>200</v>
      </c>
      <c r="P106" s="84">
        <f>P107</f>
        <v>450</v>
      </c>
      <c r="Q106" s="84"/>
      <c r="R106" s="85">
        <f t="shared" si="31"/>
        <v>1700</v>
      </c>
      <c r="S106" s="56"/>
    </row>
    <row r="107" spans="1:19" ht="25.5">
      <c r="A107" s="156" t="s">
        <v>200</v>
      </c>
      <c r="B107" s="157" t="s">
        <v>195</v>
      </c>
      <c r="C107" s="157" t="s">
        <v>203</v>
      </c>
      <c r="D107" s="157">
        <v>12</v>
      </c>
      <c r="E107" s="157" t="s">
        <v>288</v>
      </c>
      <c r="F107" s="157">
        <v>500</v>
      </c>
      <c r="G107" s="57">
        <v>750</v>
      </c>
      <c r="H107" s="58"/>
      <c r="I107" s="58"/>
      <c r="J107" s="58">
        <v>200</v>
      </c>
      <c r="K107" s="58"/>
      <c r="L107" s="58">
        <v>100</v>
      </c>
      <c r="M107" s="58">
        <v>-750</v>
      </c>
      <c r="N107" s="75">
        <v>750</v>
      </c>
      <c r="O107" s="86">
        <f>200</f>
        <v>200</v>
      </c>
      <c r="P107" s="86">
        <v>450</v>
      </c>
      <c r="Q107" s="86"/>
      <c r="R107" s="87">
        <f>G107+H107+I107+M107+L107+J107+O107+N107+P107</f>
        <v>1700</v>
      </c>
      <c r="S107" s="56"/>
    </row>
    <row r="108" spans="1:19" ht="38.25">
      <c r="A108" s="161" t="s">
        <v>289</v>
      </c>
      <c r="B108" s="157" t="s">
        <v>195</v>
      </c>
      <c r="C108" s="157" t="s">
        <v>203</v>
      </c>
      <c r="D108" s="157" t="s">
        <v>220</v>
      </c>
      <c r="E108" s="157" t="s">
        <v>290</v>
      </c>
      <c r="F108" s="157"/>
      <c r="G108" s="57"/>
      <c r="H108" s="58"/>
      <c r="I108" s="58"/>
      <c r="J108" s="58"/>
      <c r="K108" s="58"/>
      <c r="L108" s="58">
        <f>L109</f>
        <v>771.6</v>
      </c>
      <c r="M108" s="58"/>
      <c r="N108" s="75"/>
      <c r="O108" s="86"/>
      <c r="P108" s="86"/>
      <c r="Q108" s="86"/>
      <c r="R108" s="87">
        <f>R109</f>
        <v>771.6</v>
      </c>
      <c r="S108" s="56"/>
    </row>
    <row r="109" spans="1:19" ht="12.75">
      <c r="A109" s="156" t="s">
        <v>270</v>
      </c>
      <c r="B109" s="157" t="s">
        <v>195</v>
      </c>
      <c r="C109" s="157" t="s">
        <v>203</v>
      </c>
      <c r="D109" s="157" t="s">
        <v>220</v>
      </c>
      <c r="E109" s="157" t="s">
        <v>290</v>
      </c>
      <c r="F109" s="157" t="s">
        <v>271</v>
      </c>
      <c r="G109" s="57"/>
      <c r="H109" s="58"/>
      <c r="I109" s="58"/>
      <c r="J109" s="58"/>
      <c r="K109" s="58"/>
      <c r="L109" s="58">
        <v>771.6</v>
      </c>
      <c r="M109" s="58"/>
      <c r="N109" s="75"/>
      <c r="O109" s="86"/>
      <c r="P109" s="86"/>
      <c r="Q109" s="86"/>
      <c r="R109" s="87">
        <v>771.6</v>
      </c>
      <c r="S109" s="56"/>
    </row>
    <row r="110" spans="1:19" ht="51">
      <c r="A110" s="161" t="s">
        <v>291</v>
      </c>
      <c r="B110" s="157" t="s">
        <v>195</v>
      </c>
      <c r="C110" s="157" t="s">
        <v>203</v>
      </c>
      <c r="D110" s="157" t="s">
        <v>220</v>
      </c>
      <c r="E110" s="157" t="s">
        <v>292</v>
      </c>
      <c r="F110" s="157"/>
      <c r="G110" s="57"/>
      <c r="H110" s="58"/>
      <c r="I110" s="58"/>
      <c r="J110" s="58"/>
      <c r="K110" s="58"/>
      <c r="L110" s="58">
        <f>L111</f>
        <v>3510</v>
      </c>
      <c r="M110" s="58"/>
      <c r="N110" s="75"/>
      <c r="O110" s="86"/>
      <c r="P110" s="86"/>
      <c r="Q110" s="86"/>
      <c r="R110" s="87">
        <f>R111</f>
        <v>3510</v>
      </c>
      <c r="S110" s="56"/>
    </row>
    <row r="111" spans="1:19" ht="12.75">
      <c r="A111" s="164" t="s">
        <v>262</v>
      </c>
      <c r="B111" s="157" t="s">
        <v>195</v>
      </c>
      <c r="C111" s="157" t="s">
        <v>203</v>
      </c>
      <c r="D111" s="157" t="s">
        <v>220</v>
      </c>
      <c r="E111" s="157" t="s">
        <v>292</v>
      </c>
      <c r="F111" s="157" t="s">
        <v>195</v>
      </c>
      <c r="G111" s="57"/>
      <c r="H111" s="58"/>
      <c r="I111" s="58"/>
      <c r="J111" s="58"/>
      <c r="K111" s="58"/>
      <c r="L111" s="58">
        <v>3510</v>
      </c>
      <c r="M111" s="58"/>
      <c r="N111" s="75"/>
      <c r="O111" s="86"/>
      <c r="P111" s="86"/>
      <c r="Q111" s="86"/>
      <c r="R111" s="87">
        <f>L111</f>
        <v>3510</v>
      </c>
      <c r="S111" s="56"/>
    </row>
    <row r="112" spans="1:19" ht="25.5">
      <c r="A112" s="159" t="s">
        <v>250</v>
      </c>
      <c r="B112" s="157" t="s">
        <v>195</v>
      </c>
      <c r="C112" s="157" t="s">
        <v>203</v>
      </c>
      <c r="D112" s="157" t="s">
        <v>220</v>
      </c>
      <c r="E112" s="157" t="s">
        <v>251</v>
      </c>
      <c r="F112" s="157"/>
      <c r="G112" s="57">
        <f aca="true" t="shared" si="32" ref="G112:R112">G113</f>
        <v>100</v>
      </c>
      <c r="H112" s="57">
        <f t="shared" si="32"/>
        <v>1000</v>
      </c>
      <c r="I112" s="57">
        <f t="shared" si="32"/>
        <v>0</v>
      </c>
      <c r="J112" s="57">
        <f t="shared" si="32"/>
        <v>0</v>
      </c>
      <c r="K112" s="57">
        <f t="shared" si="32"/>
        <v>0</v>
      </c>
      <c r="L112" s="57">
        <f>L113</f>
        <v>0</v>
      </c>
      <c r="M112" s="57">
        <f t="shared" si="32"/>
        <v>0</v>
      </c>
      <c r="N112" s="74"/>
      <c r="O112" s="84"/>
      <c r="P112" s="84"/>
      <c r="Q112" s="84"/>
      <c r="R112" s="85">
        <f t="shared" si="32"/>
        <v>1100</v>
      </c>
      <c r="S112" s="56"/>
    </row>
    <row r="113" spans="1:19" ht="25.5">
      <c r="A113" s="156" t="s">
        <v>200</v>
      </c>
      <c r="B113" s="157" t="s">
        <v>195</v>
      </c>
      <c r="C113" s="157" t="s">
        <v>203</v>
      </c>
      <c r="D113" s="157" t="s">
        <v>220</v>
      </c>
      <c r="E113" s="157" t="s">
        <v>251</v>
      </c>
      <c r="F113" s="157" t="s">
        <v>208</v>
      </c>
      <c r="G113" s="57">
        <v>100</v>
      </c>
      <c r="H113" s="58">
        <v>1000</v>
      </c>
      <c r="I113" s="58"/>
      <c r="J113" s="58"/>
      <c r="K113" s="58"/>
      <c r="L113" s="58"/>
      <c r="M113" s="58"/>
      <c r="N113" s="75"/>
      <c r="O113" s="86"/>
      <c r="P113" s="86"/>
      <c r="Q113" s="86"/>
      <c r="R113" s="87">
        <f>G113+H113+I113</f>
        <v>1100</v>
      </c>
      <c r="S113" s="56"/>
    </row>
    <row r="114" spans="1:19" ht="25.5">
      <c r="A114" s="166" t="s">
        <v>293</v>
      </c>
      <c r="B114" s="155"/>
      <c r="C114" s="155" t="s">
        <v>273</v>
      </c>
      <c r="D114" s="157"/>
      <c r="E114" s="157"/>
      <c r="F114" s="157"/>
      <c r="G114" s="54">
        <f>G118</f>
        <v>0</v>
      </c>
      <c r="H114" s="54">
        <f>H118</f>
        <v>0</v>
      </c>
      <c r="I114" s="54">
        <f>I118</f>
        <v>0</v>
      </c>
      <c r="J114" s="54">
        <f>J118+J115</f>
        <v>6868.4</v>
      </c>
      <c r="K114" s="54">
        <f>K118+K115</f>
        <v>0</v>
      </c>
      <c r="L114" s="54">
        <f>L118+L115</f>
        <v>-474.04</v>
      </c>
      <c r="M114" s="54">
        <f>M118+M115</f>
        <v>0</v>
      </c>
      <c r="N114" s="73"/>
      <c r="O114" s="82"/>
      <c r="P114" s="82">
        <f>P115</f>
        <v>2433.508</v>
      </c>
      <c r="Q114" s="82"/>
      <c r="R114" s="83">
        <f>R118+R115</f>
        <v>8827.868</v>
      </c>
      <c r="S114" s="56"/>
    </row>
    <row r="115" spans="1:19" ht="12.75">
      <c r="A115" s="167" t="s">
        <v>294</v>
      </c>
      <c r="B115" s="155"/>
      <c r="C115" s="155" t="s">
        <v>273</v>
      </c>
      <c r="D115" s="157" t="s">
        <v>190</v>
      </c>
      <c r="E115" s="157"/>
      <c r="F115" s="157"/>
      <c r="G115" s="54"/>
      <c r="H115" s="54"/>
      <c r="I115" s="54"/>
      <c r="J115" s="54">
        <f>J116</f>
        <v>4739</v>
      </c>
      <c r="K115" s="54">
        <f aca="true" t="shared" si="33" ref="K115:R116">K116</f>
        <v>0</v>
      </c>
      <c r="L115" s="54">
        <f t="shared" si="33"/>
        <v>-474.04</v>
      </c>
      <c r="M115" s="54">
        <f t="shared" si="33"/>
        <v>0</v>
      </c>
      <c r="N115" s="73"/>
      <c r="O115" s="82"/>
      <c r="P115" s="82">
        <f>P116</f>
        <v>2433.508</v>
      </c>
      <c r="Q115" s="82"/>
      <c r="R115" s="83">
        <f t="shared" si="33"/>
        <v>6698.468</v>
      </c>
      <c r="S115" s="56"/>
    </row>
    <row r="116" spans="1:19" ht="38.25">
      <c r="A116" s="161" t="s">
        <v>295</v>
      </c>
      <c r="B116" s="157" t="s">
        <v>296</v>
      </c>
      <c r="C116" s="157" t="s">
        <v>273</v>
      </c>
      <c r="D116" s="157" t="s">
        <v>190</v>
      </c>
      <c r="E116" s="157" t="s">
        <v>297</v>
      </c>
      <c r="F116" s="157"/>
      <c r="G116" s="57"/>
      <c r="H116" s="57"/>
      <c r="I116" s="57"/>
      <c r="J116" s="57">
        <f>J117</f>
        <v>4739</v>
      </c>
      <c r="K116" s="57">
        <f t="shared" si="33"/>
        <v>0</v>
      </c>
      <c r="L116" s="57">
        <f t="shared" si="33"/>
        <v>-474.04</v>
      </c>
      <c r="M116" s="57">
        <f t="shared" si="33"/>
        <v>0</v>
      </c>
      <c r="N116" s="74"/>
      <c r="O116" s="84"/>
      <c r="P116" s="84">
        <f>P117</f>
        <v>2433.508</v>
      </c>
      <c r="Q116" s="84"/>
      <c r="R116" s="85">
        <f t="shared" si="33"/>
        <v>6698.468</v>
      </c>
      <c r="S116" s="56"/>
    </row>
    <row r="117" spans="1:19" ht="12.75">
      <c r="A117" s="164" t="s">
        <v>262</v>
      </c>
      <c r="B117" s="157" t="s">
        <v>296</v>
      </c>
      <c r="C117" s="157" t="s">
        <v>273</v>
      </c>
      <c r="D117" s="157" t="s">
        <v>190</v>
      </c>
      <c r="E117" s="157" t="s">
        <v>297</v>
      </c>
      <c r="F117" s="157" t="s">
        <v>195</v>
      </c>
      <c r="G117" s="57"/>
      <c r="H117" s="57"/>
      <c r="I117" s="57"/>
      <c r="J117" s="57">
        <v>4739</v>
      </c>
      <c r="K117" s="57"/>
      <c r="L117" s="57">
        <v>-474.04</v>
      </c>
      <c r="M117" s="57"/>
      <c r="N117" s="74"/>
      <c r="O117" s="84"/>
      <c r="P117" s="84">
        <v>2433.508</v>
      </c>
      <c r="Q117" s="84"/>
      <c r="R117" s="85">
        <f>J117+L117+P117</f>
        <v>6698.468</v>
      </c>
      <c r="S117" s="56"/>
    </row>
    <row r="118" spans="1:19" ht="38.25">
      <c r="A118" s="166" t="s">
        <v>298</v>
      </c>
      <c r="B118" s="155"/>
      <c r="C118" s="155" t="s">
        <v>273</v>
      </c>
      <c r="D118" s="155" t="s">
        <v>273</v>
      </c>
      <c r="E118" s="155"/>
      <c r="F118" s="155"/>
      <c r="G118" s="54">
        <f>G119</f>
        <v>0</v>
      </c>
      <c r="H118" s="54">
        <f aca="true" t="shared" si="34" ref="H118:R119">H119</f>
        <v>0</v>
      </c>
      <c r="I118" s="54">
        <f t="shared" si="34"/>
        <v>0</v>
      </c>
      <c r="J118" s="54">
        <f t="shared" si="34"/>
        <v>2129.4</v>
      </c>
      <c r="K118" s="54">
        <f t="shared" si="34"/>
        <v>0</v>
      </c>
      <c r="L118" s="54">
        <f t="shared" si="34"/>
        <v>0</v>
      </c>
      <c r="M118" s="54">
        <f t="shared" si="34"/>
        <v>0</v>
      </c>
      <c r="N118" s="73"/>
      <c r="O118" s="82"/>
      <c r="P118" s="82"/>
      <c r="Q118" s="82"/>
      <c r="R118" s="83">
        <f t="shared" si="34"/>
        <v>2129.4</v>
      </c>
      <c r="S118" s="56"/>
    </row>
    <row r="119" spans="1:19" ht="51">
      <c r="A119" s="162" t="s">
        <v>299</v>
      </c>
      <c r="B119" s="157" t="s">
        <v>195</v>
      </c>
      <c r="C119" s="157" t="s">
        <v>273</v>
      </c>
      <c r="D119" s="157" t="s">
        <v>273</v>
      </c>
      <c r="E119" s="157" t="s">
        <v>300</v>
      </c>
      <c r="F119" s="157"/>
      <c r="G119" s="57">
        <f>G120</f>
        <v>0</v>
      </c>
      <c r="H119" s="58"/>
      <c r="I119" s="58"/>
      <c r="J119" s="58">
        <f>J120</f>
        <v>2129.4</v>
      </c>
      <c r="K119" s="58">
        <f t="shared" si="34"/>
        <v>0</v>
      </c>
      <c r="L119" s="58">
        <f t="shared" si="34"/>
        <v>0</v>
      </c>
      <c r="M119" s="58">
        <f t="shared" si="34"/>
        <v>0</v>
      </c>
      <c r="N119" s="75"/>
      <c r="O119" s="86"/>
      <c r="P119" s="86"/>
      <c r="Q119" s="86"/>
      <c r="R119" s="87">
        <f t="shared" si="34"/>
        <v>2129.4</v>
      </c>
      <c r="S119" s="56"/>
    </row>
    <row r="120" spans="1:19" ht="25.5">
      <c r="A120" s="156" t="s">
        <v>232</v>
      </c>
      <c r="B120" s="157" t="s">
        <v>195</v>
      </c>
      <c r="C120" s="157" t="s">
        <v>273</v>
      </c>
      <c r="D120" s="157" t="s">
        <v>273</v>
      </c>
      <c r="E120" s="157" t="s">
        <v>300</v>
      </c>
      <c r="F120" s="157" t="s">
        <v>233</v>
      </c>
      <c r="G120" s="57"/>
      <c r="H120" s="58"/>
      <c r="I120" s="58"/>
      <c r="J120" s="58">
        <v>2129.4</v>
      </c>
      <c r="K120" s="58"/>
      <c r="L120" s="58"/>
      <c r="M120" s="58"/>
      <c r="N120" s="75"/>
      <c r="O120" s="86"/>
      <c r="P120" s="86"/>
      <c r="Q120" s="86"/>
      <c r="R120" s="87">
        <f>J120+K120</f>
        <v>2129.4</v>
      </c>
      <c r="S120" s="56"/>
    </row>
    <row r="121" spans="1:19" ht="12.75">
      <c r="A121" s="158" t="s">
        <v>301</v>
      </c>
      <c r="B121" s="155"/>
      <c r="C121" s="155" t="s">
        <v>210</v>
      </c>
      <c r="D121" s="155"/>
      <c r="E121" s="155"/>
      <c r="F121" s="155"/>
      <c r="G121" s="54">
        <f>G122</f>
        <v>100</v>
      </c>
      <c r="H121" s="54">
        <f aca="true" t="shared" si="35" ref="H121:R123">H122</f>
        <v>0</v>
      </c>
      <c r="I121" s="54">
        <f t="shared" si="35"/>
        <v>0</v>
      </c>
      <c r="J121" s="54">
        <f t="shared" si="35"/>
        <v>0</v>
      </c>
      <c r="K121" s="54">
        <f t="shared" si="35"/>
        <v>0</v>
      </c>
      <c r="L121" s="54">
        <f t="shared" si="35"/>
        <v>0</v>
      </c>
      <c r="M121" s="54">
        <f t="shared" si="35"/>
        <v>0</v>
      </c>
      <c r="N121" s="73"/>
      <c r="O121" s="82"/>
      <c r="P121" s="82"/>
      <c r="Q121" s="82"/>
      <c r="R121" s="83">
        <f t="shared" si="35"/>
        <v>100</v>
      </c>
      <c r="S121" s="56"/>
    </row>
    <row r="122" spans="1:19" ht="25.5">
      <c r="A122" s="158" t="s">
        <v>302</v>
      </c>
      <c r="B122" s="155"/>
      <c r="C122" s="155" t="s">
        <v>210</v>
      </c>
      <c r="D122" s="155" t="s">
        <v>273</v>
      </c>
      <c r="E122" s="155"/>
      <c r="F122" s="155"/>
      <c r="G122" s="54">
        <f>G123</f>
        <v>100</v>
      </c>
      <c r="H122" s="54">
        <f t="shared" si="35"/>
        <v>0</v>
      </c>
      <c r="I122" s="54">
        <f t="shared" si="35"/>
        <v>0</v>
      </c>
      <c r="J122" s="54">
        <f t="shared" si="35"/>
        <v>0</v>
      </c>
      <c r="K122" s="54">
        <f t="shared" si="35"/>
        <v>0</v>
      </c>
      <c r="L122" s="54">
        <f t="shared" si="35"/>
        <v>0</v>
      </c>
      <c r="M122" s="54">
        <f t="shared" si="35"/>
        <v>0</v>
      </c>
      <c r="N122" s="73"/>
      <c r="O122" s="82"/>
      <c r="P122" s="82"/>
      <c r="Q122" s="82"/>
      <c r="R122" s="83">
        <f t="shared" si="35"/>
        <v>100</v>
      </c>
      <c r="S122" s="56"/>
    </row>
    <row r="123" spans="1:19" ht="25.5">
      <c r="A123" s="159" t="s">
        <v>250</v>
      </c>
      <c r="B123" s="157" t="s">
        <v>195</v>
      </c>
      <c r="C123" s="157" t="s">
        <v>210</v>
      </c>
      <c r="D123" s="157" t="s">
        <v>273</v>
      </c>
      <c r="E123" s="157" t="s">
        <v>251</v>
      </c>
      <c r="F123" s="157"/>
      <c r="G123" s="57">
        <f>G124</f>
        <v>100</v>
      </c>
      <c r="H123" s="57">
        <f t="shared" si="35"/>
        <v>0</v>
      </c>
      <c r="I123" s="57">
        <f t="shared" si="35"/>
        <v>0</v>
      </c>
      <c r="J123" s="57">
        <f t="shared" si="35"/>
        <v>0</v>
      </c>
      <c r="K123" s="57">
        <f t="shared" si="35"/>
        <v>0</v>
      </c>
      <c r="L123" s="57">
        <f t="shared" si="35"/>
        <v>0</v>
      </c>
      <c r="M123" s="57">
        <f t="shared" si="35"/>
        <v>0</v>
      </c>
      <c r="N123" s="74"/>
      <c r="O123" s="84"/>
      <c r="P123" s="84"/>
      <c r="Q123" s="84"/>
      <c r="R123" s="85">
        <f t="shared" si="35"/>
        <v>100</v>
      </c>
      <c r="S123" s="56"/>
    </row>
    <row r="124" spans="1:19" ht="12.75">
      <c r="A124" s="159" t="s">
        <v>303</v>
      </c>
      <c r="B124" s="157" t="s">
        <v>195</v>
      </c>
      <c r="C124" s="157" t="s">
        <v>210</v>
      </c>
      <c r="D124" s="157" t="s">
        <v>273</v>
      </c>
      <c r="E124" s="157" t="s">
        <v>251</v>
      </c>
      <c r="F124" s="157" t="s">
        <v>304</v>
      </c>
      <c r="G124" s="57">
        <v>100</v>
      </c>
      <c r="H124" s="58"/>
      <c r="I124" s="58"/>
      <c r="J124" s="58"/>
      <c r="K124" s="58"/>
      <c r="L124" s="58"/>
      <c r="M124" s="58"/>
      <c r="N124" s="75"/>
      <c r="O124" s="86"/>
      <c r="P124" s="86"/>
      <c r="Q124" s="86"/>
      <c r="R124" s="87">
        <f>G124+H124+I124</f>
        <v>100</v>
      </c>
      <c r="S124" s="56"/>
    </row>
    <row r="125" spans="1:19" ht="12.75">
      <c r="A125" s="154" t="s">
        <v>305</v>
      </c>
      <c r="B125" s="155"/>
      <c r="C125" s="155" t="s">
        <v>306</v>
      </c>
      <c r="D125" s="155"/>
      <c r="E125" s="155"/>
      <c r="F125" s="155"/>
      <c r="G125" s="54">
        <f aca="true" t="shared" si="36" ref="G125:R125">G126+G138+G164+G180</f>
        <v>1012420.2</v>
      </c>
      <c r="H125" s="54">
        <f t="shared" si="36"/>
        <v>17116.199999999997</v>
      </c>
      <c r="I125" s="54">
        <f t="shared" si="36"/>
        <v>617.3</v>
      </c>
      <c r="J125" s="54">
        <f t="shared" si="36"/>
        <v>16600</v>
      </c>
      <c r="K125" s="54">
        <f t="shared" si="36"/>
        <v>75.00000000000006</v>
      </c>
      <c r="L125" s="54">
        <f>L126+L138+L164+L180</f>
        <v>-34516.85406</v>
      </c>
      <c r="M125" s="54">
        <f t="shared" si="36"/>
        <v>0</v>
      </c>
      <c r="N125" s="73">
        <f t="shared" si="36"/>
        <v>10897</v>
      </c>
      <c r="O125" s="82">
        <f t="shared" si="36"/>
        <v>-80.00000000000003</v>
      </c>
      <c r="P125" s="82">
        <f>P126+P138+P164+P180</f>
        <v>5231</v>
      </c>
      <c r="Q125" s="82"/>
      <c r="R125" s="83">
        <f t="shared" si="36"/>
        <v>1028859.8459399999</v>
      </c>
      <c r="S125" s="56"/>
    </row>
    <row r="126" spans="1:19" s="165" customFormat="1" ht="14.25" customHeight="1">
      <c r="A126" s="154" t="s">
        <v>307</v>
      </c>
      <c r="B126" s="155"/>
      <c r="C126" s="155" t="s">
        <v>306</v>
      </c>
      <c r="D126" s="155" t="s">
        <v>190</v>
      </c>
      <c r="E126" s="155"/>
      <c r="F126" s="155"/>
      <c r="G126" s="54">
        <f>G131+G127</f>
        <v>211456.6</v>
      </c>
      <c r="H126" s="54">
        <f>H131+H127</f>
        <v>4524.8</v>
      </c>
      <c r="I126" s="54">
        <f>I131+I127</f>
        <v>0</v>
      </c>
      <c r="J126" s="54">
        <f>J131+J127</f>
        <v>0</v>
      </c>
      <c r="K126" s="54">
        <f>K131+K127</f>
        <v>18.4508</v>
      </c>
      <c r="L126" s="54">
        <f>L131+L127+L134</f>
        <v>640.0075899999999</v>
      </c>
      <c r="M126" s="54">
        <f>M131+M127+M134</f>
        <v>0</v>
      </c>
      <c r="N126" s="73">
        <f>N131+N127+N134+N136+N129</f>
        <v>8550</v>
      </c>
      <c r="O126" s="82">
        <f>O131+O127+O134+O136+O129</f>
        <v>41.68846</v>
      </c>
      <c r="P126" s="82">
        <f>P127+P129+P131+P134+P136</f>
        <v>951</v>
      </c>
      <c r="Q126" s="82"/>
      <c r="R126" s="83">
        <f>R131+R127+R134+R136+R129</f>
        <v>226182.54684999998</v>
      </c>
      <c r="S126" s="65"/>
    </row>
    <row r="127" spans="1:19" ht="14.25" customHeight="1">
      <c r="A127" s="168" t="s">
        <v>308</v>
      </c>
      <c r="B127" s="169" t="s">
        <v>195</v>
      </c>
      <c r="C127" s="169" t="s">
        <v>306</v>
      </c>
      <c r="D127" s="169" t="s">
        <v>190</v>
      </c>
      <c r="E127" s="169" t="s">
        <v>309</v>
      </c>
      <c r="F127" s="169"/>
      <c r="G127" s="57"/>
      <c r="H127" s="57">
        <f aca="true" t="shared" si="37" ref="H127:R127">H128</f>
        <v>500</v>
      </c>
      <c r="I127" s="57">
        <f t="shared" si="37"/>
        <v>0</v>
      </c>
      <c r="J127" s="57">
        <f t="shared" si="37"/>
        <v>0</v>
      </c>
      <c r="K127" s="57">
        <f t="shared" si="37"/>
        <v>0</v>
      </c>
      <c r="L127" s="57">
        <f t="shared" si="37"/>
        <v>0</v>
      </c>
      <c r="M127" s="57">
        <f t="shared" si="37"/>
        <v>0</v>
      </c>
      <c r="N127" s="74"/>
      <c r="O127" s="84"/>
      <c r="P127" s="84"/>
      <c r="Q127" s="84"/>
      <c r="R127" s="85">
        <f t="shared" si="37"/>
        <v>500</v>
      </c>
      <c r="S127" s="56"/>
    </row>
    <row r="128" spans="1:19" ht="14.25" customHeight="1">
      <c r="A128" s="170" t="s">
        <v>310</v>
      </c>
      <c r="B128" s="169" t="s">
        <v>195</v>
      </c>
      <c r="C128" s="169" t="s">
        <v>306</v>
      </c>
      <c r="D128" s="169" t="s">
        <v>190</v>
      </c>
      <c r="E128" s="169" t="s">
        <v>309</v>
      </c>
      <c r="F128" s="169" t="s">
        <v>311</v>
      </c>
      <c r="G128" s="57"/>
      <c r="H128" s="57">
        <v>500</v>
      </c>
      <c r="I128" s="57"/>
      <c r="J128" s="57"/>
      <c r="K128" s="57"/>
      <c r="L128" s="57"/>
      <c r="M128" s="57"/>
      <c r="N128" s="74"/>
      <c r="O128" s="84"/>
      <c r="P128" s="84"/>
      <c r="Q128" s="84"/>
      <c r="R128" s="85">
        <f>G128+H128+I128</f>
        <v>500</v>
      </c>
      <c r="S128" s="56"/>
    </row>
    <row r="129" spans="1:19" ht="14.25" customHeight="1">
      <c r="A129" s="168" t="s">
        <v>308</v>
      </c>
      <c r="B129" s="169" t="s">
        <v>195</v>
      </c>
      <c r="C129" s="169" t="s">
        <v>306</v>
      </c>
      <c r="D129" s="169" t="s">
        <v>190</v>
      </c>
      <c r="E129" s="169" t="s">
        <v>309</v>
      </c>
      <c r="F129" s="169"/>
      <c r="G129" s="57"/>
      <c r="H129" s="57"/>
      <c r="I129" s="57"/>
      <c r="J129" s="57"/>
      <c r="K129" s="57"/>
      <c r="L129" s="57"/>
      <c r="M129" s="57"/>
      <c r="N129" s="74">
        <f>N130</f>
        <v>7000</v>
      </c>
      <c r="O129" s="84">
        <f>O130</f>
        <v>0</v>
      </c>
      <c r="P129" s="84"/>
      <c r="Q129" s="84"/>
      <c r="R129" s="84">
        <f>R130</f>
        <v>7000</v>
      </c>
      <c r="S129" s="56"/>
    </row>
    <row r="130" spans="1:19" ht="14.25" customHeight="1">
      <c r="A130" s="164" t="s">
        <v>489</v>
      </c>
      <c r="B130" s="169" t="s">
        <v>195</v>
      </c>
      <c r="C130" s="169" t="s">
        <v>306</v>
      </c>
      <c r="D130" s="169" t="s">
        <v>190</v>
      </c>
      <c r="E130" s="169" t="s">
        <v>309</v>
      </c>
      <c r="F130" s="169" t="s">
        <v>488</v>
      </c>
      <c r="G130" s="57"/>
      <c r="H130" s="57"/>
      <c r="I130" s="57"/>
      <c r="J130" s="57"/>
      <c r="K130" s="57"/>
      <c r="L130" s="57"/>
      <c r="M130" s="57"/>
      <c r="N130" s="74">
        <v>7000</v>
      </c>
      <c r="O130" s="84"/>
      <c r="P130" s="84"/>
      <c r="Q130" s="84"/>
      <c r="R130" s="85">
        <f>N130</f>
        <v>7000</v>
      </c>
      <c r="S130" s="56"/>
    </row>
    <row r="131" spans="1:19" ht="12.75">
      <c r="A131" s="171" t="s">
        <v>312</v>
      </c>
      <c r="B131" s="157" t="s">
        <v>195</v>
      </c>
      <c r="C131" s="157" t="s">
        <v>306</v>
      </c>
      <c r="D131" s="157" t="s">
        <v>190</v>
      </c>
      <c r="E131" s="157" t="s">
        <v>313</v>
      </c>
      <c r="F131" s="157"/>
      <c r="G131" s="57">
        <f>G132</f>
        <v>211456.6</v>
      </c>
      <c r="H131" s="57">
        <f aca="true" t="shared" si="38" ref="H131:R132">H132</f>
        <v>4024.8</v>
      </c>
      <c r="I131" s="57">
        <f t="shared" si="38"/>
        <v>0</v>
      </c>
      <c r="J131" s="57">
        <f t="shared" si="38"/>
        <v>0</v>
      </c>
      <c r="K131" s="57">
        <f t="shared" si="38"/>
        <v>18.4508</v>
      </c>
      <c r="L131" s="57">
        <f t="shared" si="38"/>
        <v>275</v>
      </c>
      <c r="M131" s="57">
        <f t="shared" si="38"/>
        <v>0</v>
      </c>
      <c r="N131" s="74">
        <f t="shared" si="38"/>
        <v>550</v>
      </c>
      <c r="O131" s="84">
        <f t="shared" si="38"/>
        <v>41.68846</v>
      </c>
      <c r="P131" s="84">
        <f>P132</f>
        <v>951</v>
      </c>
      <c r="Q131" s="84"/>
      <c r="R131" s="85">
        <f t="shared" si="38"/>
        <v>217317.53926</v>
      </c>
      <c r="S131" s="56"/>
    </row>
    <row r="132" spans="1:19" ht="25.5">
      <c r="A132" s="156" t="s">
        <v>230</v>
      </c>
      <c r="B132" s="157" t="s">
        <v>195</v>
      </c>
      <c r="C132" s="157" t="s">
        <v>306</v>
      </c>
      <c r="D132" s="157" t="s">
        <v>190</v>
      </c>
      <c r="E132" s="157" t="s">
        <v>314</v>
      </c>
      <c r="F132" s="157"/>
      <c r="G132" s="57">
        <f>G133</f>
        <v>211456.6</v>
      </c>
      <c r="H132" s="57">
        <f t="shared" si="38"/>
        <v>4024.8</v>
      </c>
      <c r="I132" s="57">
        <f t="shared" si="38"/>
        <v>0</v>
      </c>
      <c r="J132" s="57">
        <f t="shared" si="38"/>
        <v>0</v>
      </c>
      <c r="K132" s="57">
        <f t="shared" si="38"/>
        <v>18.4508</v>
      </c>
      <c r="L132" s="57">
        <f t="shared" si="38"/>
        <v>275</v>
      </c>
      <c r="M132" s="57">
        <f t="shared" si="38"/>
        <v>0</v>
      </c>
      <c r="N132" s="74">
        <f t="shared" si="38"/>
        <v>550</v>
      </c>
      <c r="O132" s="84">
        <f t="shared" si="38"/>
        <v>41.68846</v>
      </c>
      <c r="P132" s="84">
        <f>P133</f>
        <v>951</v>
      </c>
      <c r="Q132" s="84"/>
      <c r="R132" s="85">
        <f>R133</f>
        <v>217317.53926</v>
      </c>
      <c r="S132" s="56"/>
    </row>
    <row r="133" spans="1:19" ht="25.5">
      <c r="A133" s="156" t="s">
        <v>232</v>
      </c>
      <c r="B133" s="157" t="s">
        <v>195</v>
      </c>
      <c r="C133" s="157" t="s">
        <v>306</v>
      </c>
      <c r="D133" s="157" t="s">
        <v>190</v>
      </c>
      <c r="E133" s="157" t="s">
        <v>314</v>
      </c>
      <c r="F133" s="157" t="s">
        <v>233</v>
      </c>
      <c r="G133" s="57">
        <f>212081.6-625</f>
        <v>211456.6</v>
      </c>
      <c r="H133" s="58">
        <f>904.8+1160+860+1100</f>
        <v>4024.8</v>
      </c>
      <c r="I133" s="58"/>
      <c r="J133" s="58"/>
      <c r="K133" s="58">
        <f>118.125-99.6742</f>
        <v>18.4508</v>
      </c>
      <c r="L133" s="58">
        <v>275</v>
      </c>
      <c r="M133" s="58"/>
      <c r="N133" s="75">
        <v>550</v>
      </c>
      <c r="O133" s="86">
        <f>41.68846</f>
        <v>41.68846</v>
      </c>
      <c r="P133" s="86">
        <f>381+570</f>
        <v>951</v>
      </c>
      <c r="Q133" s="86"/>
      <c r="R133" s="87">
        <f>G133+H133+I133+K133+L133+O133+N133+P133</f>
        <v>217317.53926</v>
      </c>
      <c r="S133" s="56"/>
    </row>
    <row r="134" spans="1:19" ht="51">
      <c r="A134" s="172" t="s">
        <v>315</v>
      </c>
      <c r="B134" s="157" t="s">
        <v>195</v>
      </c>
      <c r="C134" s="157" t="s">
        <v>306</v>
      </c>
      <c r="D134" s="157" t="s">
        <v>190</v>
      </c>
      <c r="E134" s="157" t="s">
        <v>316</v>
      </c>
      <c r="F134" s="157"/>
      <c r="G134" s="57"/>
      <c r="H134" s="58"/>
      <c r="I134" s="58"/>
      <c r="J134" s="58"/>
      <c r="K134" s="58"/>
      <c r="L134" s="58">
        <f>L135</f>
        <v>365.00759</v>
      </c>
      <c r="M134" s="58">
        <f>M135</f>
        <v>0</v>
      </c>
      <c r="N134" s="75"/>
      <c r="O134" s="86"/>
      <c r="P134" s="86"/>
      <c r="Q134" s="86"/>
      <c r="R134" s="87">
        <f>R135</f>
        <v>365.00759</v>
      </c>
      <c r="S134" s="56"/>
    </row>
    <row r="135" spans="1:19" ht="25.5">
      <c r="A135" s="156" t="s">
        <v>232</v>
      </c>
      <c r="B135" s="157" t="s">
        <v>195</v>
      </c>
      <c r="C135" s="157" t="s">
        <v>306</v>
      </c>
      <c r="D135" s="157" t="s">
        <v>190</v>
      </c>
      <c r="E135" s="157" t="s">
        <v>316</v>
      </c>
      <c r="F135" s="157" t="s">
        <v>233</v>
      </c>
      <c r="G135" s="57"/>
      <c r="H135" s="58"/>
      <c r="I135" s="58"/>
      <c r="J135" s="58"/>
      <c r="K135" s="58"/>
      <c r="L135" s="58">
        <v>365.00759</v>
      </c>
      <c r="M135" s="58"/>
      <c r="N135" s="75"/>
      <c r="O135" s="86"/>
      <c r="P135" s="86"/>
      <c r="Q135" s="86"/>
      <c r="R135" s="87">
        <f>L135</f>
        <v>365.00759</v>
      </c>
      <c r="S135" s="56"/>
    </row>
    <row r="136" spans="1:19" ht="51">
      <c r="A136" s="161" t="s">
        <v>484</v>
      </c>
      <c r="B136" s="157" t="s">
        <v>195</v>
      </c>
      <c r="C136" s="157" t="s">
        <v>306</v>
      </c>
      <c r="D136" s="157" t="s">
        <v>190</v>
      </c>
      <c r="E136" s="157" t="s">
        <v>483</v>
      </c>
      <c r="F136" s="157"/>
      <c r="G136" s="57"/>
      <c r="H136" s="58"/>
      <c r="I136" s="58"/>
      <c r="J136" s="58"/>
      <c r="K136" s="58"/>
      <c r="L136" s="58"/>
      <c r="M136" s="58"/>
      <c r="N136" s="75">
        <f>N137</f>
        <v>1000</v>
      </c>
      <c r="O136" s="86">
        <f>O137</f>
        <v>0</v>
      </c>
      <c r="P136" s="86"/>
      <c r="Q136" s="86"/>
      <c r="R136" s="86">
        <f>R137</f>
        <v>1000</v>
      </c>
      <c r="S136" s="56"/>
    </row>
    <row r="137" spans="1:19" ht="25.5">
      <c r="A137" s="156" t="s">
        <v>232</v>
      </c>
      <c r="B137" s="157" t="s">
        <v>195</v>
      </c>
      <c r="C137" s="157" t="s">
        <v>306</v>
      </c>
      <c r="D137" s="157" t="s">
        <v>190</v>
      </c>
      <c r="E137" s="157" t="s">
        <v>483</v>
      </c>
      <c r="F137" s="157" t="s">
        <v>233</v>
      </c>
      <c r="G137" s="57"/>
      <c r="H137" s="58"/>
      <c r="I137" s="58"/>
      <c r="J137" s="58"/>
      <c r="K137" s="58"/>
      <c r="L137" s="58"/>
      <c r="M137" s="58"/>
      <c r="N137" s="75">
        <v>1000</v>
      </c>
      <c r="O137" s="86"/>
      <c r="P137" s="86"/>
      <c r="Q137" s="86"/>
      <c r="R137" s="87">
        <f>N137</f>
        <v>1000</v>
      </c>
      <c r="S137" s="56"/>
    </row>
    <row r="138" spans="1:19" ht="12.75">
      <c r="A138" s="154" t="s">
        <v>317</v>
      </c>
      <c r="B138" s="155"/>
      <c r="C138" s="155" t="s">
        <v>306</v>
      </c>
      <c r="D138" s="155" t="s">
        <v>196</v>
      </c>
      <c r="E138" s="157"/>
      <c r="F138" s="157"/>
      <c r="G138" s="54">
        <f>G139+G146</f>
        <v>742300</v>
      </c>
      <c r="H138" s="54">
        <f aca="true" t="shared" si="39" ref="H138:N138">H139+H146</f>
        <v>8521.099999999999</v>
      </c>
      <c r="I138" s="54">
        <f t="shared" si="39"/>
        <v>617.3</v>
      </c>
      <c r="J138" s="54">
        <f t="shared" si="39"/>
        <v>16450</v>
      </c>
      <c r="K138" s="54">
        <f t="shared" si="39"/>
        <v>-323.36766</v>
      </c>
      <c r="L138" s="54">
        <f t="shared" si="39"/>
        <v>-45959.12165</v>
      </c>
      <c r="M138" s="54">
        <f t="shared" si="39"/>
        <v>-2000</v>
      </c>
      <c r="N138" s="73">
        <f t="shared" si="39"/>
        <v>2347</v>
      </c>
      <c r="O138" s="82">
        <f>O139+O146</f>
        <v>-267.67306</v>
      </c>
      <c r="P138" s="82">
        <f>P139+P146+P149+P151+P153+P155+P158+P160+P162</f>
        <v>3560</v>
      </c>
      <c r="Q138" s="82">
        <f>Q139+Q146+Q160</f>
        <v>250</v>
      </c>
      <c r="R138" s="83">
        <f>R139+R146+R160</f>
        <v>725745.23763</v>
      </c>
      <c r="S138" s="56"/>
    </row>
    <row r="139" spans="1:19" ht="12.75">
      <c r="A139" s="154" t="s">
        <v>318</v>
      </c>
      <c r="B139" s="155"/>
      <c r="C139" s="155" t="s">
        <v>306</v>
      </c>
      <c r="D139" s="155" t="s">
        <v>196</v>
      </c>
      <c r="E139" s="155" t="s">
        <v>319</v>
      </c>
      <c r="F139" s="155"/>
      <c r="G139" s="54">
        <f aca="true" t="shared" si="40" ref="G139:R139">G140+G143</f>
        <v>205749</v>
      </c>
      <c r="H139" s="54">
        <f t="shared" si="40"/>
        <v>8521.099999999999</v>
      </c>
      <c r="I139" s="54">
        <f t="shared" si="40"/>
        <v>617.3</v>
      </c>
      <c r="J139" s="54">
        <f t="shared" si="40"/>
        <v>5450</v>
      </c>
      <c r="K139" s="54">
        <f t="shared" si="40"/>
        <v>-323.36766</v>
      </c>
      <c r="L139" s="54">
        <f t="shared" si="40"/>
        <v>5082</v>
      </c>
      <c r="M139" s="54">
        <f t="shared" si="40"/>
        <v>-2000</v>
      </c>
      <c r="N139" s="73">
        <f t="shared" si="40"/>
        <v>0</v>
      </c>
      <c r="O139" s="82">
        <f t="shared" si="40"/>
        <v>-267.67306</v>
      </c>
      <c r="P139" s="82">
        <f>P140+P143</f>
        <v>3560</v>
      </c>
      <c r="Q139" s="82"/>
      <c r="R139" s="83">
        <f t="shared" si="40"/>
        <v>226388.35928</v>
      </c>
      <c r="S139" s="56"/>
    </row>
    <row r="140" spans="1:19" ht="38.25">
      <c r="A140" s="171" t="s">
        <v>320</v>
      </c>
      <c r="B140" s="157" t="s">
        <v>195</v>
      </c>
      <c r="C140" s="157" t="s">
        <v>306</v>
      </c>
      <c r="D140" s="157" t="s">
        <v>196</v>
      </c>
      <c r="E140" s="157" t="s">
        <v>321</v>
      </c>
      <c r="F140" s="157"/>
      <c r="G140" s="57">
        <f>G141</f>
        <v>133745.8</v>
      </c>
      <c r="H140" s="57">
        <f aca="true" t="shared" si="41" ref="H140:R141">H141</f>
        <v>7589.099999999999</v>
      </c>
      <c r="I140" s="57">
        <f t="shared" si="41"/>
        <v>0</v>
      </c>
      <c r="J140" s="57">
        <f t="shared" si="41"/>
        <v>5450</v>
      </c>
      <c r="K140" s="57">
        <f t="shared" si="41"/>
        <v>-323.36766</v>
      </c>
      <c r="L140" s="57">
        <f t="shared" si="41"/>
        <v>4415</v>
      </c>
      <c r="M140" s="57">
        <f t="shared" si="41"/>
        <v>-2000</v>
      </c>
      <c r="N140" s="74">
        <f t="shared" si="41"/>
        <v>0</v>
      </c>
      <c r="O140" s="84">
        <f t="shared" si="41"/>
        <v>-111.68846</v>
      </c>
      <c r="P140" s="84">
        <f>P141</f>
        <v>3245</v>
      </c>
      <c r="Q140" s="84"/>
      <c r="R140" s="85">
        <f t="shared" si="41"/>
        <v>152009.84388</v>
      </c>
      <c r="S140" s="56"/>
    </row>
    <row r="141" spans="1:19" ht="25.5">
      <c r="A141" s="156" t="s">
        <v>230</v>
      </c>
      <c r="B141" s="157" t="s">
        <v>195</v>
      </c>
      <c r="C141" s="157" t="s">
        <v>306</v>
      </c>
      <c r="D141" s="157" t="s">
        <v>196</v>
      </c>
      <c r="E141" s="157" t="s">
        <v>322</v>
      </c>
      <c r="F141" s="157"/>
      <c r="G141" s="57">
        <f>G142</f>
        <v>133745.8</v>
      </c>
      <c r="H141" s="57">
        <f t="shared" si="41"/>
        <v>7589.099999999999</v>
      </c>
      <c r="I141" s="57">
        <f t="shared" si="41"/>
        <v>0</v>
      </c>
      <c r="J141" s="57">
        <f t="shared" si="41"/>
        <v>5450</v>
      </c>
      <c r="K141" s="57">
        <f t="shared" si="41"/>
        <v>-323.36766</v>
      </c>
      <c r="L141" s="57">
        <f t="shared" si="41"/>
        <v>4415</v>
      </c>
      <c r="M141" s="57">
        <f t="shared" si="41"/>
        <v>-2000</v>
      </c>
      <c r="N141" s="74">
        <f t="shared" si="41"/>
        <v>0</v>
      </c>
      <c r="O141" s="84">
        <f t="shared" si="41"/>
        <v>-111.68846</v>
      </c>
      <c r="P141" s="84">
        <f>P142</f>
        <v>3245</v>
      </c>
      <c r="Q141" s="84"/>
      <c r="R141" s="85">
        <f t="shared" si="41"/>
        <v>152009.84388</v>
      </c>
      <c r="S141" s="56"/>
    </row>
    <row r="142" spans="1:19" ht="25.5">
      <c r="A142" s="156" t="s">
        <v>232</v>
      </c>
      <c r="B142" s="157" t="s">
        <v>195</v>
      </c>
      <c r="C142" s="157" t="s">
        <v>306</v>
      </c>
      <c r="D142" s="157" t="s">
        <v>196</v>
      </c>
      <c r="E142" s="157" t="s">
        <v>322</v>
      </c>
      <c r="F142" s="157" t="s">
        <v>233</v>
      </c>
      <c r="G142" s="57">
        <f>123745.8+10000</f>
        <v>133745.8</v>
      </c>
      <c r="H142" s="58">
        <f>2706.4+193.2+4341.7+100+247.8</f>
        <v>7589.099999999999</v>
      </c>
      <c r="I142" s="58"/>
      <c r="J142" s="58">
        <f>2300+2000+200+950</f>
        <v>5450</v>
      </c>
      <c r="K142" s="58">
        <f>-118.125-205.24266</f>
        <v>-323.36766</v>
      </c>
      <c r="L142" s="58">
        <v>4415</v>
      </c>
      <c r="M142" s="58">
        <v>-2000</v>
      </c>
      <c r="N142" s="75"/>
      <c r="O142" s="86">
        <v>-111.68846</v>
      </c>
      <c r="P142" s="86">
        <v>3245</v>
      </c>
      <c r="Q142" s="86"/>
      <c r="R142" s="87">
        <f>G142+H142+K142+J142+L142+M142+O142+P142</f>
        <v>152009.84388</v>
      </c>
      <c r="S142" s="56"/>
    </row>
    <row r="143" spans="1:19" ht="25.5">
      <c r="A143" s="156" t="s">
        <v>323</v>
      </c>
      <c r="B143" s="157" t="s">
        <v>195</v>
      </c>
      <c r="C143" s="157" t="s">
        <v>306</v>
      </c>
      <c r="D143" s="157" t="s">
        <v>196</v>
      </c>
      <c r="E143" s="157" t="s">
        <v>324</v>
      </c>
      <c r="F143" s="157"/>
      <c r="G143" s="57">
        <f>G144</f>
        <v>72003.2</v>
      </c>
      <c r="H143" s="57">
        <f aca="true" t="shared" si="42" ref="H143:R144">H144</f>
        <v>932</v>
      </c>
      <c r="I143" s="57">
        <f t="shared" si="42"/>
        <v>617.3</v>
      </c>
      <c r="J143" s="57">
        <f t="shared" si="42"/>
        <v>0</v>
      </c>
      <c r="K143" s="57">
        <f t="shared" si="42"/>
        <v>0</v>
      </c>
      <c r="L143" s="57">
        <f t="shared" si="42"/>
        <v>667</v>
      </c>
      <c r="M143" s="57">
        <f t="shared" si="42"/>
        <v>0</v>
      </c>
      <c r="N143" s="74"/>
      <c r="O143" s="84">
        <f>O144</f>
        <v>-155.9846</v>
      </c>
      <c r="P143" s="84">
        <f>P144</f>
        <v>315</v>
      </c>
      <c r="Q143" s="84"/>
      <c r="R143" s="85">
        <f t="shared" si="42"/>
        <v>74378.5154</v>
      </c>
      <c r="S143" s="56"/>
    </row>
    <row r="144" spans="1:19" ht="25.5">
      <c r="A144" s="156" t="s">
        <v>230</v>
      </c>
      <c r="B144" s="157" t="s">
        <v>195</v>
      </c>
      <c r="C144" s="157" t="s">
        <v>306</v>
      </c>
      <c r="D144" s="157" t="s">
        <v>196</v>
      </c>
      <c r="E144" s="157" t="s">
        <v>325</v>
      </c>
      <c r="F144" s="157"/>
      <c r="G144" s="57">
        <f>G145</f>
        <v>72003.2</v>
      </c>
      <c r="H144" s="57">
        <f t="shared" si="42"/>
        <v>932</v>
      </c>
      <c r="I144" s="57">
        <f t="shared" si="42"/>
        <v>617.3</v>
      </c>
      <c r="J144" s="57">
        <f t="shared" si="42"/>
        <v>0</v>
      </c>
      <c r="K144" s="57">
        <f t="shared" si="42"/>
        <v>0</v>
      </c>
      <c r="L144" s="57">
        <f t="shared" si="42"/>
        <v>667</v>
      </c>
      <c r="M144" s="57">
        <f t="shared" si="42"/>
        <v>0</v>
      </c>
      <c r="N144" s="74"/>
      <c r="O144" s="84">
        <v>-155.9846</v>
      </c>
      <c r="P144" s="84">
        <f>P145</f>
        <v>315</v>
      </c>
      <c r="Q144" s="84"/>
      <c r="R144" s="85">
        <f>R145</f>
        <v>74378.5154</v>
      </c>
      <c r="S144" s="56"/>
    </row>
    <row r="145" spans="1:19" ht="25.5">
      <c r="A145" s="156" t="s">
        <v>232</v>
      </c>
      <c r="B145" s="157" t="s">
        <v>195</v>
      </c>
      <c r="C145" s="157" t="s">
        <v>306</v>
      </c>
      <c r="D145" s="157" t="s">
        <v>196</v>
      </c>
      <c r="E145" s="157" t="s">
        <v>325</v>
      </c>
      <c r="F145" s="157" t="s">
        <v>233</v>
      </c>
      <c r="G145" s="57">
        <f>65927+6076.2</f>
        <v>72003.2</v>
      </c>
      <c r="H145" s="58">
        <f>932</f>
        <v>932</v>
      </c>
      <c r="I145" s="58">
        <f>-117.7+735</f>
        <v>617.3</v>
      </c>
      <c r="J145" s="58"/>
      <c r="K145" s="58"/>
      <c r="L145" s="58">
        <v>667</v>
      </c>
      <c r="M145" s="58"/>
      <c r="N145" s="75"/>
      <c r="O145" s="86">
        <v>-155.9846</v>
      </c>
      <c r="P145" s="86">
        <v>315</v>
      </c>
      <c r="Q145" s="86"/>
      <c r="R145" s="87">
        <f>G145+H145+I145+L145+O145+P145</f>
        <v>74378.5154</v>
      </c>
      <c r="S145" s="56"/>
    </row>
    <row r="146" spans="1:19" ht="25.5">
      <c r="A146" s="173" t="s">
        <v>326</v>
      </c>
      <c r="B146" s="155" t="s">
        <v>195</v>
      </c>
      <c r="C146" s="155" t="s">
        <v>306</v>
      </c>
      <c r="D146" s="155" t="s">
        <v>196</v>
      </c>
      <c r="E146" s="155" t="s">
        <v>327</v>
      </c>
      <c r="F146" s="155"/>
      <c r="G146" s="54">
        <f>G153+G155+G149+G147</f>
        <v>536551</v>
      </c>
      <c r="H146" s="54">
        <f>H153+H155+H149+H147</f>
        <v>0</v>
      </c>
      <c r="I146" s="54">
        <f>I153+I155+I149+I147</f>
        <v>0</v>
      </c>
      <c r="J146" s="54">
        <f>J153+J155+J149+J147</f>
        <v>11000</v>
      </c>
      <c r="K146" s="54">
        <f>K153+K155+K149+K147</f>
        <v>0</v>
      </c>
      <c r="L146" s="54">
        <f>L153+L155+L149+L147+L151</f>
        <v>-51041.12165</v>
      </c>
      <c r="M146" s="54">
        <f>M153+M155+M149+M147+M151</f>
        <v>0</v>
      </c>
      <c r="N146" s="73">
        <f>N153+N155+N149+N147+N151+N162</f>
        <v>2347</v>
      </c>
      <c r="O146" s="82">
        <f>O153+O155+O149+O147+O151+O162</f>
        <v>0</v>
      </c>
      <c r="P146" s="82"/>
      <c r="Q146" s="82"/>
      <c r="R146" s="83">
        <f>R153+R155+R149+R147+R151+R162</f>
        <v>498856.87835</v>
      </c>
      <c r="S146" s="56"/>
    </row>
    <row r="147" spans="1:19" ht="38.25">
      <c r="A147" s="161" t="s">
        <v>328</v>
      </c>
      <c r="B147" s="157" t="s">
        <v>195</v>
      </c>
      <c r="C147" s="157" t="s">
        <v>306</v>
      </c>
      <c r="D147" s="157" t="s">
        <v>196</v>
      </c>
      <c r="E147" s="157" t="s">
        <v>329</v>
      </c>
      <c r="F147" s="157"/>
      <c r="G147" s="57">
        <f>G148</f>
        <v>0</v>
      </c>
      <c r="H147" s="57">
        <f aca="true" t="shared" si="43" ref="H147:R147">H148</f>
        <v>0</v>
      </c>
      <c r="I147" s="57">
        <f t="shared" si="43"/>
        <v>0</v>
      </c>
      <c r="J147" s="57">
        <f t="shared" si="43"/>
        <v>9000</v>
      </c>
      <c r="K147" s="57">
        <f t="shared" si="43"/>
        <v>0</v>
      </c>
      <c r="L147" s="57">
        <f t="shared" si="43"/>
        <v>0</v>
      </c>
      <c r="M147" s="57">
        <f t="shared" si="43"/>
        <v>0</v>
      </c>
      <c r="N147" s="74"/>
      <c r="O147" s="84"/>
      <c r="P147" s="84"/>
      <c r="Q147" s="84"/>
      <c r="R147" s="85">
        <f t="shared" si="43"/>
        <v>9000</v>
      </c>
      <c r="S147" s="56"/>
    </row>
    <row r="148" spans="1:19" ht="25.5">
      <c r="A148" s="156" t="s">
        <v>232</v>
      </c>
      <c r="B148" s="157" t="s">
        <v>195</v>
      </c>
      <c r="C148" s="157" t="s">
        <v>306</v>
      </c>
      <c r="D148" s="157" t="s">
        <v>196</v>
      </c>
      <c r="E148" s="157" t="s">
        <v>329</v>
      </c>
      <c r="F148" s="157" t="s">
        <v>233</v>
      </c>
      <c r="G148" s="57"/>
      <c r="H148" s="57"/>
      <c r="I148" s="57"/>
      <c r="J148" s="57">
        <v>9000</v>
      </c>
      <c r="K148" s="57"/>
      <c r="L148" s="57"/>
      <c r="M148" s="57"/>
      <c r="N148" s="74"/>
      <c r="O148" s="84"/>
      <c r="P148" s="84"/>
      <c r="Q148" s="84"/>
      <c r="R148" s="85">
        <f>J148</f>
        <v>9000</v>
      </c>
      <c r="S148" s="56"/>
    </row>
    <row r="149" spans="1:19" ht="38.25">
      <c r="A149" s="161" t="s">
        <v>330</v>
      </c>
      <c r="B149" s="157" t="s">
        <v>195</v>
      </c>
      <c r="C149" s="157" t="s">
        <v>306</v>
      </c>
      <c r="D149" s="157" t="s">
        <v>196</v>
      </c>
      <c r="E149" s="157" t="s">
        <v>331</v>
      </c>
      <c r="F149" s="155"/>
      <c r="G149" s="57">
        <f>G150</f>
        <v>0</v>
      </c>
      <c r="H149" s="57">
        <f aca="true" t="shared" si="44" ref="H149:R149">H150</f>
        <v>0</v>
      </c>
      <c r="I149" s="57">
        <f t="shared" si="44"/>
        <v>0</v>
      </c>
      <c r="J149" s="57">
        <f t="shared" si="44"/>
        <v>2000</v>
      </c>
      <c r="K149" s="57">
        <f t="shared" si="44"/>
        <v>0</v>
      </c>
      <c r="L149" s="57">
        <f t="shared" si="44"/>
        <v>0</v>
      </c>
      <c r="M149" s="57">
        <f t="shared" si="44"/>
        <v>0</v>
      </c>
      <c r="N149" s="74"/>
      <c r="O149" s="84"/>
      <c r="P149" s="84"/>
      <c r="Q149" s="84"/>
      <c r="R149" s="85">
        <f t="shared" si="44"/>
        <v>2000</v>
      </c>
      <c r="S149" s="56"/>
    </row>
    <row r="150" spans="1:19" ht="25.5">
      <c r="A150" s="156" t="s">
        <v>232</v>
      </c>
      <c r="B150" s="157" t="s">
        <v>195</v>
      </c>
      <c r="C150" s="157" t="s">
        <v>306</v>
      </c>
      <c r="D150" s="157" t="s">
        <v>196</v>
      </c>
      <c r="E150" s="157" t="s">
        <v>331</v>
      </c>
      <c r="F150" s="157" t="s">
        <v>233</v>
      </c>
      <c r="G150" s="57"/>
      <c r="H150" s="57"/>
      <c r="I150" s="57"/>
      <c r="J150" s="57">
        <v>2000</v>
      </c>
      <c r="K150" s="57"/>
      <c r="L150" s="57"/>
      <c r="M150" s="57"/>
      <c r="N150" s="74"/>
      <c r="O150" s="84"/>
      <c r="P150" s="84"/>
      <c r="Q150" s="84"/>
      <c r="R150" s="85">
        <f>J150</f>
        <v>2000</v>
      </c>
      <c r="S150" s="56"/>
    </row>
    <row r="151" spans="1:19" ht="51">
      <c r="A151" s="172" t="s">
        <v>315</v>
      </c>
      <c r="B151" s="157" t="s">
        <v>195</v>
      </c>
      <c r="C151" s="157" t="s">
        <v>306</v>
      </c>
      <c r="D151" s="157" t="s">
        <v>196</v>
      </c>
      <c r="E151" s="157" t="s">
        <v>316</v>
      </c>
      <c r="F151" s="157"/>
      <c r="G151" s="57"/>
      <c r="H151" s="57"/>
      <c r="I151" s="57"/>
      <c r="J151" s="57"/>
      <c r="K151" s="57"/>
      <c r="L151" s="57">
        <f>L152</f>
        <v>89.17835</v>
      </c>
      <c r="M151" s="57"/>
      <c r="N151" s="74"/>
      <c r="O151" s="84"/>
      <c r="P151" s="84"/>
      <c r="Q151" s="84"/>
      <c r="R151" s="85">
        <f>R152</f>
        <v>89.17835</v>
      </c>
      <c r="S151" s="56"/>
    </row>
    <row r="152" spans="1:19" ht="25.5">
      <c r="A152" s="156" t="s">
        <v>232</v>
      </c>
      <c r="B152" s="157" t="s">
        <v>195</v>
      </c>
      <c r="C152" s="157" t="s">
        <v>306</v>
      </c>
      <c r="D152" s="157" t="s">
        <v>196</v>
      </c>
      <c r="E152" s="157" t="s">
        <v>316</v>
      </c>
      <c r="F152" s="157" t="s">
        <v>233</v>
      </c>
      <c r="G152" s="57"/>
      <c r="H152" s="57"/>
      <c r="I152" s="57"/>
      <c r="J152" s="57"/>
      <c r="K152" s="57"/>
      <c r="L152" s="57">
        <v>89.17835</v>
      </c>
      <c r="M152" s="57"/>
      <c r="N152" s="74"/>
      <c r="O152" s="84"/>
      <c r="P152" s="84"/>
      <c r="Q152" s="84"/>
      <c r="R152" s="85">
        <f>L152</f>
        <v>89.17835</v>
      </c>
      <c r="S152" s="56"/>
    </row>
    <row r="153" spans="1:19" ht="66" customHeight="1">
      <c r="A153" s="163" t="s">
        <v>332</v>
      </c>
      <c r="B153" s="157" t="s">
        <v>195</v>
      </c>
      <c r="C153" s="157" t="s">
        <v>306</v>
      </c>
      <c r="D153" s="157" t="s">
        <v>196</v>
      </c>
      <c r="E153" s="157" t="s">
        <v>333</v>
      </c>
      <c r="F153" s="157"/>
      <c r="G153" s="57">
        <f aca="true" t="shared" si="45" ref="G153:R153">G154</f>
        <v>86061</v>
      </c>
      <c r="H153" s="57">
        <f t="shared" si="45"/>
        <v>0</v>
      </c>
      <c r="I153" s="57">
        <f t="shared" si="45"/>
        <v>0</v>
      </c>
      <c r="J153" s="57">
        <f t="shared" si="45"/>
        <v>0</v>
      </c>
      <c r="K153" s="57">
        <f t="shared" si="45"/>
        <v>0</v>
      </c>
      <c r="L153" s="57">
        <f t="shared" si="45"/>
        <v>0</v>
      </c>
      <c r="M153" s="57">
        <f t="shared" si="45"/>
        <v>0</v>
      </c>
      <c r="N153" s="74"/>
      <c r="O153" s="84"/>
      <c r="P153" s="84"/>
      <c r="Q153" s="84"/>
      <c r="R153" s="85">
        <f t="shared" si="45"/>
        <v>86061</v>
      </c>
      <c r="S153" s="56"/>
    </row>
    <row r="154" spans="1:19" ht="25.5">
      <c r="A154" s="156" t="s">
        <v>232</v>
      </c>
      <c r="B154" s="157" t="s">
        <v>195</v>
      </c>
      <c r="C154" s="157" t="s">
        <v>306</v>
      </c>
      <c r="D154" s="157" t="s">
        <v>196</v>
      </c>
      <c r="E154" s="157" t="s">
        <v>333</v>
      </c>
      <c r="F154" s="157" t="s">
        <v>233</v>
      </c>
      <c r="G154" s="57">
        <v>86061</v>
      </c>
      <c r="H154" s="58"/>
      <c r="I154" s="58"/>
      <c r="J154" s="58"/>
      <c r="K154" s="58"/>
      <c r="L154" s="58"/>
      <c r="M154" s="58"/>
      <c r="N154" s="75"/>
      <c r="O154" s="86"/>
      <c r="P154" s="86"/>
      <c r="Q154" s="86"/>
      <c r="R154" s="87">
        <f>G154+H154+I154</f>
        <v>86061</v>
      </c>
      <c r="S154" s="56"/>
    </row>
    <row r="155" spans="1:19" ht="38.25">
      <c r="A155" s="156" t="s">
        <v>334</v>
      </c>
      <c r="B155" s="157" t="s">
        <v>195</v>
      </c>
      <c r="C155" s="157" t="s">
        <v>306</v>
      </c>
      <c r="D155" s="157" t="s">
        <v>196</v>
      </c>
      <c r="E155" s="157" t="s">
        <v>335</v>
      </c>
      <c r="F155" s="157"/>
      <c r="G155" s="61">
        <f aca="true" t="shared" si="46" ref="G155:R155">G156+G158</f>
        <v>450490</v>
      </c>
      <c r="H155" s="61">
        <f t="shared" si="46"/>
        <v>0</v>
      </c>
      <c r="I155" s="61">
        <f t="shared" si="46"/>
        <v>0</v>
      </c>
      <c r="J155" s="61">
        <f t="shared" si="46"/>
        <v>0</v>
      </c>
      <c r="K155" s="61">
        <f t="shared" si="46"/>
        <v>0</v>
      </c>
      <c r="L155" s="61">
        <f t="shared" si="46"/>
        <v>-51130.3</v>
      </c>
      <c r="M155" s="61">
        <f t="shared" si="46"/>
        <v>0</v>
      </c>
      <c r="N155" s="78"/>
      <c r="O155" s="92"/>
      <c r="P155" s="92"/>
      <c r="Q155" s="92"/>
      <c r="R155" s="93">
        <f t="shared" si="46"/>
        <v>399359.7</v>
      </c>
      <c r="S155" s="56"/>
    </row>
    <row r="156" spans="1:19" ht="63.75">
      <c r="A156" s="156" t="s">
        <v>336</v>
      </c>
      <c r="B156" s="157" t="s">
        <v>195</v>
      </c>
      <c r="C156" s="157" t="s">
        <v>306</v>
      </c>
      <c r="D156" s="157" t="s">
        <v>196</v>
      </c>
      <c r="E156" s="157" t="s">
        <v>337</v>
      </c>
      <c r="F156" s="157"/>
      <c r="G156" s="57">
        <f aca="true" t="shared" si="47" ref="G156:R156">G157</f>
        <v>350649</v>
      </c>
      <c r="H156" s="57">
        <f t="shared" si="47"/>
        <v>0</v>
      </c>
      <c r="I156" s="57">
        <f t="shared" si="47"/>
        <v>0</v>
      </c>
      <c r="J156" s="57">
        <f t="shared" si="47"/>
        <v>0</v>
      </c>
      <c r="K156" s="57">
        <f t="shared" si="47"/>
        <v>0</v>
      </c>
      <c r="L156" s="57">
        <f t="shared" si="47"/>
        <v>-51130.3</v>
      </c>
      <c r="M156" s="57">
        <f t="shared" si="47"/>
        <v>0</v>
      </c>
      <c r="N156" s="74"/>
      <c r="O156" s="84"/>
      <c r="P156" s="84"/>
      <c r="Q156" s="84"/>
      <c r="R156" s="85">
        <f t="shared" si="47"/>
        <v>299518.7</v>
      </c>
      <c r="S156" s="56"/>
    </row>
    <row r="157" spans="1:19" ht="25.5">
      <c r="A157" s="156" t="s">
        <v>232</v>
      </c>
      <c r="B157" s="157" t="s">
        <v>195</v>
      </c>
      <c r="C157" s="157" t="s">
        <v>306</v>
      </c>
      <c r="D157" s="157" t="s">
        <v>196</v>
      </c>
      <c r="E157" s="157" t="s">
        <v>337</v>
      </c>
      <c r="F157" s="157" t="s">
        <v>233</v>
      </c>
      <c r="G157" s="57">
        <v>350649</v>
      </c>
      <c r="H157" s="58"/>
      <c r="I157" s="58"/>
      <c r="J157" s="58"/>
      <c r="K157" s="58"/>
      <c r="L157" s="58">
        <v>-51130.3</v>
      </c>
      <c r="M157" s="58"/>
      <c r="N157" s="75"/>
      <c r="O157" s="86"/>
      <c r="P157" s="86"/>
      <c r="Q157" s="86"/>
      <c r="R157" s="87">
        <f>G157+H157+I157+L157</f>
        <v>299518.7</v>
      </c>
      <c r="S157" s="56"/>
    </row>
    <row r="158" spans="1:19" ht="51">
      <c r="A158" s="156" t="s">
        <v>338</v>
      </c>
      <c r="B158" s="157" t="s">
        <v>195</v>
      </c>
      <c r="C158" s="157" t="s">
        <v>306</v>
      </c>
      <c r="D158" s="157" t="s">
        <v>196</v>
      </c>
      <c r="E158" s="157" t="s">
        <v>339</v>
      </c>
      <c r="F158" s="157"/>
      <c r="G158" s="57">
        <f aca="true" t="shared" si="48" ref="G158:R158">G159</f>
        <v>99841</v>
      </c>
      <c r="H158" s="57">
        <f t="shared" si="48"/>
        <v>0</v>
      </c>
      <c r="I158" s="57">
        <f t="shared" si="48"/>
        <v>0</v>
      </c>
      <c r="J158" s="57">
        <f t="shared" si="48"/>
        <v>0</v>
      </c>
      <c r="K158" s="57">
        <f t="shared" si="48"/>
        <v>0</v>
      </c>
      <c r="L158" s="57">
        <f t="shared" si="48"/>
        <v>0</v>
      </c>
      <c r="M158" s="57">
        <f t="shared" si="48"/>
        <v>0</v>
      </c>
      <c r="N158" s="74"/>
      <c r="O158" s="84"/>
      <c r="P158" s="84"/>
      <c r="Q158" s="84"/>
      <c r="R158" s="85">
        <f t="shared" si="48"/>
        <v>99841</v>
      </c>
      <c r="S158" s="56"/>
    </row>
    <row r="159" spans="1:19" ht="25.5">
      <c r="A159" s="156" t="s">
        <v>232</v>
      </c>
      <c r="B159" s="157" t="s">
        <v>195</v>
      </c>
      <c r="C159" s="157" t="s">
        <v>306</v>
      </c>
      <c r="D159" s="157" t="s">
        <v>196</v>
      </c>
      <c r="E159" s="157" t="s">
        <v>339</v>
      </c>
      <c r="F159" s="157" t="s">
        <v>233</v>
      </c>
      <c r="G159" s="57">
        <v>99841</v>
      </c>
      <c r="H159" s="58"/>
      <c r="I159" s="58"/>
      <c r="J159" s="58"/>
      <c r="K159" s="58"/>
      <c r="L159" s="58"/>
      <c r="M159" s="58"/>
      <c r="N159" s="75"/>
      <c r="O159" s="86"/>
      <c r="P159" s="86"/>
      <c r="Q159" s="86"/>
      <c r="R159" s="87">
        <f>G159+H159+I159</f>
        <v>99841</v>
      </c>
      <c r="S159" s="56"/>
    </row>
    <row r="160" spans="1:19" ht="63.75">
      <c r="A160" s="161" t="s">
        <v>491</v>
      </c>
      <c r="B160" s="157" t="s">
        <v>195</v>
      </c>
      <c r="C160" s="157" t="s">
        <v>306</v>
      </c>
      <c r="D160" s="157" t="s">
        <v>196</v>
      </c>
      <c r="E160" s="157" t="s">
        <v>490</v>
      </c>
      <c r="F160" s="157"/>
      <c r="G160" s="57"/>
      <c r="H160" s="58"/>
      <c r="I160" s="58"/>
      <c r="J160" s="58"/>
      <c r="K160" s="58"/>
      <c r="L160" s="58"/>
      <c r="M160" s="58"/>
      <c r="N160" s="75"/>
      <c r="O160" s="86"/>
      <c r="P160" s="86"/>
      <c r="Q160" s="86">
        <f>Q161</f>
        <v>250</v>
      </c>
      <c r="R160" s="87">
        <f>R161</f>
        <v>500</v>
      </c>
      <c r="S160" s="56"/>
    </row>
    <row r="161" spans="1:19" ht="25.5">
      <c r="A161" s="156" t="s">
        <v>232</v>
      </c>
      <c r="B161" s="157" t="s">
        <v>195</v>
      </c>
      <c r="C161" s="157" t="s">
        <v>306</v>
      </c>
      <c r="D161" s="157" t="s">
        <v>196</v>
      </c>
      <c r="E161" s="157" t="s">
        <v>490</v>
      </c>
      <c r="F161" s="157" t="s">
        <v>233</v>
      </c>
      <c r="G161" s="57"/>
      <c r="H161" s="58"/>
      <c r="I161" s="58"/>
      <c r="J161" s="58"/>
      <c r="K161" s="58"/>
      <c r="L161" s="58"/>
      <c r="M161" s="58"/>
      <c r="N161" s="75"/>
      <c r="O161" s="86"/>
      <c r="P161" s="86"/>
      <c r="Q161" s="86">
        <v>250</v>
      </c>
      <c r="R161" s="87">
        <f>Q161+Q161</f>
        <v>500</v>
      </c>
      <c r="S161" s="56"/>
    </row>
    <row r="162" spans="1:19" ht="51">
      <c r="A162" s="161" t="s">
        <v>484</v>
      </c>
      <c r="B162" s="157" t="s">
        <v>195</v>
      </c>
      <c r="C162" s="157" t="s">
        <v>306</v>
      </c>
      <c r="D162" s="157" t="s">
        <v>196</v>
      </c>
      <c r="E162" s="157" t="s">
        <v>483</v>
      </c>
      <c r="F162" s="157"/>
      <c r="G162" s="57"/>
      <c r="H162" s="58"/>
      <c r="I162" s="58"/>
      <c r="J162" s="58"/>
      <c r="K162" s="58"/>
      <c r="L162" s="58"/>
      <c r="M162" s="58"/>
      <c r="N162" s="75">
        <f>N163</f>
        <v>2347</v>
      </c>
      <c r="O162" s="86">
        <f>O163</f>
        <v>0</v>
      </c>
      <c r="P162" s="86"/>
      <c r="Q162" s="86"/>
      <c r="R162" s="86">
        <f>R163</f>
        <v>2347</v>
      </c>
      <c r="S162" s="56"/>
    </row>
    <row r="163" spans="1:19" ht="25.5">
      <c r="A163" s="156" t="s">
        <v>232</v>
      </c>
      <c r="B163" s="157" t="s">
        <v>195</v>
      </c>
      <c r="C163" s="157" t="s">
        <v>306</v>
      </c>
      <c r="D163" s="157" t="s">
        <v>196</v>
      </c>
      <c r="E163" s="157" t="s">
        <v>483</v>
      </c>
      <c r="F163" s="157" t="s">
        <v>233</v>
      </c>
      <c r="G163" s="57"/>
      <c r="H163" s="58"/>
      <c r="I163" s="58"/>
      <c r="J163" s="58"/>
      <c r="K163" s="58"/>
      <c r="L163" s="58"/>
      <c r="M163" s="58"/>
      <c r="N163" s="75">
        <v>2347</v>
      </c>
      <c r="O163" s="86"/>
      <c r="P163" s="86"/>
      <c r="Q163" s="86"/>
      <c r="R163" s="87">
        <f>N163</f>
        <v>2347</v>
      </c>
      <c r="S163" s="56"/>
    </row>
    <row r="164" spans="1:19" ht="25.5">
      <c r="A164" s="154" t="s">
        <v>340</v>
      </c>
      <c r="B164" s="155"/>
      <c r="C164" s="155" t="s">
        <v>306</v>
      </c>
      <c r="D164" s="155" t="s">
        <v>306</v>
      </c>
      <c r="E164" s="155"/>
      <c r="F164" s="155"/>
      <c r="G164" s="54">
        <f>G165+G178+G176</f>
        <v>5176.5</v>
      </c>
      <c r="H164" s="54">
        <f>H165+H178+H176</f>
        <v>0</v>
      </c>
      <c r="I164" s="54">
        <f>I165+I178+I176</f>
        <v>0</v>
      </c>
      <c r="J164" s="54">
        <f>J165+J178+J176</f>
        <v>150</v>
      </c>
      <c r="K164" s="54">
        <f>K165+K178+K176</f>
        <v>0</v>
      </c>
      <c r="L164" s="54">
        <f>L165+L178+L176+L174+L168</f>
        <v>10574.46</v>
      </c>
      <c r="M164" s="54">
        <f>M165+M178+M176+M174+M168</f>
        <v>2000</v>
      </c>
      <c r="N164" s="73">
        <f>N165+N178+N176+N174+N168</f>
        <v>0</v>
      </c>
      <c r="O164" s="82">
        <f>O165+O178+O176+O174+O168+O172+O170</f>
        <v>75.9846</v>
      </c>
      <c r="P164" s="82">
        <f>P165+P174+P176+P178</f>
        <v>720</v>
      </c>
      <c r="Q164" s="82"/>
      <c r="R164" s="83">
        <f>R165+R178+R176+R174+R168</f>
        <v>18696.9446</v>
      </c>
      <c r="S164" s="56"/>
    </row>
    <row r="165" spans="1:19" ht="25.5">
      <c r="A165" s="156" t="s">
        <v>341</v>
      </c>
      <c r="B165" s="157" t="s">
        <v>195</v>
      </c>
      <c r="C165" s="157" t="s">
        <v>306</v>
      </c>
      <c r="D165" s="157" t="s">
        <v>306</v>
      </c>
      <c r="E165" s="157" t="s">
        <v>342</v>
      </c>
      <c r="F165" s="174"/>
      <c r="G165" s="57">
        <f>G172</f>
        <v>4376.5</v>
      </c>
      <c r="H165" s="57">
        <f>H172</f>
        <v>0</v>
      </c>
      <c r="I165" s="57">
        <f>I172</f>
        <v>0</v>
      </c>
      <c r="J165" s="57">
        <f>J172</f>
        <v>0</v>
      </c>
      <c r="K165" s="57">
        <f>K172</f>
        <v>0</v>
      </c>
      <c r="L165" s="57">
        <f>L166+L172+L170</f>
        <v>7686.459999999999</v>
      </c>
      <c r="M165" s="57">
        <f>M166+M172+M170</f>
        <v>2000</v>
      </c>
      <c r="N165" s="74"/>
      <c r="O165" s="84"/>
      <c r="P165" s="84">
        <f>P166+P170+P172</f>
        <v>570</v>
      </c>
      <c r="Q165" s="84"/>
      <c r="R165" s="85">
        <f>R166+R172+R170</f>
        <v>14788.944599999999</v>
      </c>
      <c r="S165" s="56"/>
    </row>
    <row r="166" spans="1:19" ht="12.75">
      <c r="A166" s="161" t="s">
        <v>343</v>
      </c>
      <c r="B166" s="157" t="s">
        <v>195</v>
      </c>
      <c r="C166" s="157" t="s">
        <v>306</v>
      </c>
      <c r="D166" s="157" t="s">
        <v>306</v>
      </c>
      <c r="E166" s="157" t="s">
        <v>344</v>
      </c>
      <c r="F166" s="174"/>
      <c r="G166" s="57"/>
      <c r="H166" s="57"/>
      <c r="I166" s="57"/>
      <c r="J166" s="57"/>
      <c r="K166" s="57"/>
      <c r="L166" s="57">
        <f>L167</f>
        <v>3619.4159999999997</v>
      </c>
      <c r="M166" s="57"/>
      <c r="N166" s="74"/>
      <c r="O166" s="84"/>
      <c r="P166" s="84"/>
      <c r="Q166" s="84"/>
      <c r="R166" s="85">
        <f>R167</f>
        <v>3619.4159999999997</v>
      </c>
      <c r="S166" s="56"/>
    </row>
    <row r="167" spans="1:19" ht="38.25">
      <c r="A167" s="175" t="s">
        <v>345</v>
      </c>
      <c r="B167" s="157" t="s">
        <v>195</v>
      </c>
      <c r="C167" s="157" t="s">
        <v>306</v>
      </c>
      <c r="D167" s="157" t="s">
        <v>306</v>
      </c>
      <c r="E167" s="157" t="s">
        <v>344</v>
      </c>
      <c r="F167" s="157" t="s">
        <v>346</v>
      </c>
      <c r="G167" s="57"/>
      <c r="H167" s="57"/>
      <c r="I167" s="57"/>
      <c r="J167" s="57"/>
      <c r="K167" s="57"/>
      <c r="L167" s="57">
        <f>6032.36-2412.944</f>
        <v>3619.4159999999997</v>
      </c>
      <c r="M167" s="57"/>
      <c r="N167" s="74"/>
      <c r="O167" s="84"/>
      <c r="P167" s="84"/>
      <c r="Q167" s="84"/>
      <c r="R167" s="85">
        <f>L167</f>
        <v>3619.4159999999997</v>
      </c>
      <c r="S167" s="56"/>
    </row>
    <row r="168" spans="1:19" ht="12.75">
      <c r="A168" s="161" t="s">
        <v>343</v>
      </c>
      <c r="B168" s="157" t="s">
        <v>195</v>
      </c>
      <c r="C168" s="157" t="s">
        <v>306</v>
      </c>
      <c r="D168" s="157" t="s">
        <v>306</v>
      </c>
      <c r="E168" s="157" t="s">
        <v>344</v>
      </c>
      <c r="F168" s="174"/>
      <c r="G168" s="57"/>
      <c r="H168" s="57"/>
      <c r="I168" s="57"/>
      <c r="J168" s="57"/>
      <c r="K168" s="57"/>
      <c r="L168" s="57">
        <f>L169</f>
        <v>1000</v>
      </c>
      <c r="M168" s="57">
        <f>M169</f>
        <v>0</v>
      </c>
      <c r="N168" s="74"/>
      <c r="O168" s="84"/>
      <c r="P168" s="84"/>
      <c r="Q168" s="84"/>
      <c r="R168" s="85">
        <f>R169</f>
        <v>1000</v>
      </c>
      <c r="S168" s="56"/>
    </row>
    <row r="169" spans="1:19" ht="12.75">
      <c r="A169" s="156" t="s">
        <v>4</v>
      </c>
      <c r="B169" s="157" t="s">
        <v>195</v>
      </c>
      <c r="C169" s="157" t="s">
        <v>306</v>
      </c>
      <c r="D169" s="157" t="s">
        <v>306</v>
      </c>
      <c r="E169" s="157" t="s">
        <v>344</v>
      </c>
      <c r="F169" s="157" t="s">
        <v>208</v>
      </c>
      <c r="G169" s="57"/>
      <c r="H169" s="57"/>
      <c r="I169" s="57"/>
      <c r="J169" s="57"/>
      <c r="K169" s="57"/>
      <c r="L169" s="57">
        <v>1000</v>
      </c>
      <c r="M169" s="57"/>
      <c r="N169" s="74"/>
      <c r="O169" s="84"/>
      <c r="P169" s="84"/>
      <c r="Q169" s="84"/>
      <c r="R169" s="85">
        <f>L169</f>
        <v>1000</v>
      </c>
      <c r="S169" s="56"/>
    </row>
    <row r="170" spans="1:19" ht="38.25">
      <c r="A170" s="176" t="s">
        <v>347</v>
      </c>
      <c r="B170" s="157" t="s">
        <v>195</v>
      </c>
      <c r="C170" s="157" t="s">
        <v>306</v>
      </c>
      <c r="D170" s="157" t="s">
        <v>306</v>
      </c>
      <c r="E170" s="157" t="s">
        <v>348</v>
      </c>
      <c r="F170" s="157"/>
      <c r="G170" s="57"/>
      <c r="H170" s="57"/>
      <c r="I170" s="57"/>
      <c r="J170" s="57"/>
      <c r="K170" s="57"/>
      <c r="L170" s="57">
        <f>L171</f>
        <v>2412.944</v>
      </c>
      <c r="M170" s="57">
        <f>M171</f>
        <v>0</v>
      </c>
      <c r="N170" s="74"/>
      <c r="O170" s="84"/>
      <c r="P170" s="84"/>
      <c r="Q170" s="84"/>
      <c r="R170" s="85">
        <f>R171</f>
        <v>2412.944</v>
      </c>
      <c r="S170" s="56"/>
    </row>
    <row r="171" spans="1:19" ht="38.25">
      <c r="A171" s="175" t="s">
        <v>345</v>
      </c>
      <c r="B171" s="157" t="s">
        <v>195</v>
      </c>
      <c r="C171" s="157" t="s">
        <v>306</v>
      </c>
      <c r="D171" s="157" t="s">
        <v>306</v>
      </c>
      <c r="E171" s="157" t="s">
        <v>348</v>
      </c>
      <c r="F171" s="157" t="s">
        <v>346</v>
      </c>
      <c r="G171" s="57"/>
      <c r="H171" s="57"/>
      <c r="I171" s="57"/>
      <c r="J171" s="57"/>
      <c r="K171" s="57"/>
      <c r="L171" s="57">
        <v>2412.944</v>
      </c>
      <c r="M171" s="57"/>
      <c r="N171" s="74"/>
      <c r="O171" s="84"/>
      <c r="P171" s="84"/>
      <c r="Q171" s="84"/>
      <c r="R171" s="85">
        <f>L171</f>
        <v>2412.944</v>
      </c>
      <c r="S171" s="56"/>
    </row>
    <row r="172" spans="1:19" ht="12.75">
      <c r="A172" s="156" t="s">
        <v>349</v>
      </c>
      <c r="B172" s="157" t="s">
        <v>195</v>
      </c>
      <c r="C172" s="157" t="s">
        <v>306</v>
      </c>
      <c r="D172" s="157" t="s">
        <v>306</v>
      </c>
      <c r="E172" s="157" t="s">
        <v>350</v>
      </c>
      <c r="F172" s="157"/>
      <c r="G172" s="57">
        <f>G173</f>
        <v>4376.5</v>
      </c>
      <c r="H172" s="57">
        <f aca="true" t="shared" si="49" ref="H172:M172">H173</f>
        <v>0</v>
      </c>
      <c r="I172" s="57">
        <f t="shared" si="49"/>
        <v>0</v>
      </c>
      <c r="J172" s="57">
        <f t="shared" si="49"/>
        <v>0</v>
      </c>
      <c r="K172" s="57">
        <f t="shared" si="49"/>
        <v>0</v>
      </c>
      <c r="L172" s="57">
        <f t="shared" si="49"/>
        <v>1654.1</v>
      </c>
      <c r="M172" s="57">
        <f t="shared" si="49"/>
        <v>2000</v>
      </c>
      <c r="N172" s="74"/>
      <c r="O172" s="84">
        <f>O173</f>
        <v>155.9846</v>
      </c>
      <c r="P172" s="84">
        <f>P173</f>
        <v>570</v>
      </c>
      <c r="Q172" s="84"/>
      <c r="R172" s="85">
        <f>R173</f>
        <v>8756.5846</v>
      </c>
      <c r="S172" s="56"/>
    </row>
    <row r="173" spans="1:19" ht="25.5">
      <c r="A173" s="156" t="s">
        <v>232</v>
      </c>
      <c r="B173" s="157" t="s">
        <v>195</v>
      </c>
      <c r="C173" s="157" t="s">
        <v>306</v>
      </c>
      <c r="D173" s="157" t="s">
        <v>306</v>
      </c>
      <c r="E173" s="157" t="s">
        <v>350</v>
      </c>
      <c r="F173" s="157" t="s">
        <v>233</v>
      </c>
      <c r="G173" s="57">
        <v>4376.5</v>
      </c>
      <c r="H173" s="58"/>
      <c r="I173" s="58"/>
      <c r="J173" s="58"/>
      <c r="K173" s="58"/>
      <c r="L173" s="58">
        <f>500+1154.1</f>
        <v>1654.1</v>
      </c>
      <c r="M173" s="58">
        <v>2000</v>
      </c>
      <c r="N173" s="75"/>
      <c r="O173" s="86">
        <v>155.9846</v>
      </c>
      <c r="P173" s="86">
        <v>570</v>
      </c>
      <c r="Q173" s="86"/>
      <c r="R173" s="87">
        <f>G173+H173+I173+L173+M173+O173+P173</f>
        <v>8756.5846</v>
      </c>
      <c r="S173" s="56"/>
    </row>
    <row r="174" spans="1:19" ht="25.5">
      <c r="A174" s="161" t="s">
        <v>351</v>
      </c>
      <c r="B174" s="157" t="s">
        <v>195</v>
      </c>
      <c r="C174" s="157" t="s">
        <v>306</v>
      </c>
      <c r="D174" s="157" t="s">
        <v>306</v>
      </c>
      <c r="E174" s="157" t="s">
        <v>352</v>
      </c>
      <c r="F174" s="157"/>
      <c r="G174" s="57"/>
      <c r="H174" s="58"/>
      <c r="I174" s="58"/>
      <c r="J174" s="58"/>
      <c r="K174" s="58"/>
      <c r="L174" s="58">
        <f>L175</f>
        <v>738</v>
      </c>
      <c r="M174" s="58"/>
      <c r="N174" s="75"/>
      <c r="O174" s="86"/>
      <c r="P174" s="86"/>
      <c r="Q174" s="86"/>
      <c r="R174" s="87">
        <f>R175</f>
        <v>738</v>
      </c>
      <c r="S174" s="56"/>
    </row>
    <row r="175" spans="1:19" ht="38.25">
      <c r="A175" s="175" t="s">
        <v>345</v>
      </c>
      <c r="B175" s="157" t="s">
        <v>195</v>
      </c>
      <c r="C175" s="157" t="s">
        <v>306</v>
      </c>
      <c r="D175" s="157" t="s">
        <v>306</v>
      </c>
      <c r="E175" s="157" t="s">
        <v>352</v>
      </c>
      <c r="F175" s="157" t="s">
        <v>346</v>
      </c>
      <c r="G175" s="57"/>
      <c r="H175" s="58"/>
      <c r="I175" s="58"/>
      <c r="J175" s="58"/>
      <c r="K175" s="58"/>
      <c r="L175" s="58">
        <v>738</v>
      </c>
      <c r="M175" s="58"/>
      <c r="N175" s="75"/>
      <c r="O175" s="86"/>
      <c r="P175" s="86"/>
      <c r="Q175" s="86"/>
      <c r="R175" s="87">
        <f>L175</f>
        <v>738</v>
      </c>
      <c r="S175" s="56"/>
    </row>
    <row r="176" spans="1:19" ht="51">
      <c r="A176" s="161" t="s">
        <v>353</v>
      </c>
      <c r="B176" s="157" t="s">
        <v>195</v>
      </c>
      <c r="C176" s="157" t="s">
        <v>306</v>
      </c>
      <c r="D176" s="157" t="s">
        <v>306</v>
      </c>
      <c r="E176" s="157" t="s">
        <v>354</v>
      </c>
      <c r="F176" s="157"/>
      <c r="G176" s="57">
        <f>G177</f>
        <v>0</v>
      </c>
      <c r="H176" s="57">
        <f aca="true" t="shared" si="50" ref="H176:R176">H177</f>
        <v>0</v>
      </c>
      <c r="I176" s="57">
        <f t="shared" si="50"/>
        <v>0</v>
      </c>
      <c r="J176" s="57">
        <f t="shared" si="50"/>
        <v>150</v>
      </c>
      <c r="K176" s="57">
        <f t="shared" si="50"/>
        <v>0</v>
      </c>
      <c r="L176" s="57">
        <f t="shared" si="50"/>
        <v>0</v>
      </c>
      <c r="M176" s="57">
        <f t="shared" si="50"/>
        <v>0</v>
      </c>
      <c r="N176" s="74"/>
      <c r="O176" s="84"/>
      <c r="P176" s="84">
        <f>P177</f>
        <v>150</v>
      </c>
      <c r="Q176" s="84"/>
      <c r="R176" s="85">
        <f t="shared" si="50"/>
        <v>300</v>
      </c>
      <c r="S176" s="56"/>
    </row>
    <row r="177" spans="1:19" ht="38.25">
      <c r="A177" s="175" t="s">
        <v>345</v>
      </c>
      <c r="B177" s="157" t="s">
        <v>195</v>
      </c>
      <c r="C177" s="157" t="s">
        <v>306</v>
      </c>
      <c r="D177" s="157" t="s">
        <v>306</v>
      </c>
      <c r="E177" s="157" t="s">
        <v>354</v>
      </c>
      <c r="F177" s="157" t="s">
        <v>346</v>
      </c>
      <c r="G177" s="57"/>
      <c r="H177" s="58"/>
      <c r="I177" s="58"/>
      <c r="J177" s="58">
        <v>150</v>
      </c>
      <c r="K177" s="58"/>
      <c r="L177" s="58"/>
      <c r="M177" s="58"/>
      <c r="N177" s="75"/>
      <c r="O177" s="86"/>
      <c r="P177" s="86">
        <v>150</v>
      </c>
      <c r="Q177" s="86"/>
      <c r="R177" s="87">
        <f>J177+P177</f>
        <v>300</v>
      </c>
      <c r="S177" s="56"/>
    </row>
    <row r="178" spans="1:19" ht="38.25">
      <c r="A178" s="156" t="s">
        <v>355</v>
      </c>
      <c r="B178" s="157" t="s">
        <v>195</v>
      </c>
      <c r="C178" s="157" t="s">
        <v>306</v>
      </c>
      <c r="D178" s="157" t="s">
        <v>306</v>
      </c>
      <c r="E178" s="157" t="s">
        <v>356</v>
      </c>
      <c r="F178" s="157"/>
      <c r="G178" s="57">
        <f aca="true" t="shared" si="51" ref="G178:R178">G179</f>
        <v>800</v>
      </c>
      <c r="H178" s="57">
        <f t="shared" si="51"/>
        <v>0</v>
      </c>
      <c r="I178" s="57">
        <f t="shared" si="51"/>
        <v>0</v>
      </c>
      <c r="J178" s="57">
        <f t="shared" si="51"/>
        <v>0</v>
      </c>
      <c r="K178" s="57">
        <f t="shared" si="51"/>
        <v>0</v>
      </c>
      <c r="L178" s="57">
        <f t="shared" si="51"/>
        <v>1150</v>
      </c>
      <c r="M178" s="57">
        <f t="shared" si="51"/>
        <v>0</v>
      </c>
      <c r="N178" s="74">
        <f t="shared" si="51"/>
        <v>0</v>
      </c>
      <c r="O178" s="84">
        <f t="shared" si="51"/>
        <v>-80</v>
      </c>
      <c r="P178" s="84"/>
      <c r="Q178" s="84"/>
      <c r="R178" s="85">
        <f t="shared" si="51"/>
        <v>1870</v>
      </c>
      <c r="S178" s="56"/>
    </row>
    <row r="179" spans="1:19" ht="25.5">
      <c r="A179" s="156" t="s">
        <v>200</v>
      </c>
      <c r="B179" s="157" t="s">
        <v>195</v>
      </c>
      <c r="C179" s="157" t="s">
        <v>306</v>
      </c>
      <c r="D179" s="157" t="s">
        <v>306</v>
      </c>
      <c r="E179" s="157" t="s">
        <v>356</v>
      </c>
      <c r="F179" s="157" t="s">
        <v>208</v>
      </c>
      <c r="G179" s="57">
        <v>800</v>
      </c>
      <c r="H179" s="58"/>
      <c r="I179" s="58"/>
      <c r="J179" s="58"/>
      <c r="K179" s="58"/>
      <c r="L179" s="58">
        <v>1150</v>
      </c>
      <c r="M179" s="58"/>
      <c r="N179" s="75"/>
      <c r="O179" s="86">
        <v>-80</v>
      </c>
      <c r="P179" s="86"/>
      <c r="Q179" s="86"/>
      <c r="R179" s="87">
        <f>G179+H179+I179+L179+O179</f>
        <v>1870</v>
      </c>
      <c r="S179" s="56"/>
    </row>
    <row r="180" spans="1:19" ht="25.5">
      <c r="A180" s="154" t="s">
        <v>357</v>
      </c>
      <c r="B180" s="155"/>
      <c r="C180" s="155" t="s">
        <v>306</v>
      </c>
      <c r="D180" s="155" t="s">
        <v>255</v>
      </c>
      <c r="E180" s="155"/>
      <c r="F180" s="155"/>
      <c r="G180" s="54">
        <f>G181+G186+G189</f>
        <v>53487.100000000006</v>
      </c>
      <c r="H180" s="54">
        <f>H181+H186+H189+H184</f>
        <v>4070.3</v>
      </c>
      <c r="I180" s="54">
        <f aca="true" t="shared" si="52" ref="I180:R180">I181+I186+I189+I184</f>
        <v>0</v>
      </c>
      <c r="J180" s="54">
        <f t="shared" si="52"/>
        <v>0</v>
      </c>
      <c r="K180" s="54">
        <f t="shared" si="52"/>
        <v>379.91686000000004</v>
      </c>
      <c r="L180" s="54">
        <f t="shared" si="52"/>
        <v>227.79999999999995</v>
      </c>
      <c r="M180" s="54">
        <f t="shared" si="52"/>
        <v>0</v>
      </c>
      <c r="N180" s="73">
        <f t="shared" si="52"/>
        <v>0</v>
      </c>
      <c r="O180" s="82">
        <f t="shared" si="52"/>
        <v>70</v>
      </c>
      <c r="P180" s="82"/>
      <c r="Q180" s="82"/>
      <c r="R180" s="83">
        <f t="shared" si="52"/>
        <v>58235.11686</v>
      </c>
      <c r="S180" s="56"/>
    </row>
    <row r="181" spans="1:19" ht="38.25">
      <c r="A181" s="156" t="s">
        <v>358</v>
      </c>
      <c r="B181" s="157" t="s">
        <v>195</v>
      </c>
      <c r="C181" s="157" t="s">
        <v>306</v>
      </c>
      <c r="D181" s="157" t="s">
        <v>255</v>
      </c>
      <c r="E181" s="157" t="s">
        <v>359</v>
      </c>
      <c r="F181" s="157"/>
      <c r="G181" s="57">
        <f>G182</f>
        <v>20388.7</v>
      </c>
      <c r="H181" s="57">
        <f aca="true" t="shared" si="53" ref="H181:R182">H182</f>
        <v>3070.3</v>
      </c>
      <c r="I181" s="57">
        <f t="shared" si="53"/>
        <v>0</v>
      </c>
      <c r="J181" s="57">
        <f t="shared" si="53"/>
        <v>0</v>
      </c>
      <c r="K181" s="57">
        <f t="shared" si="53"/>
        <v>345.51</v>
      </c>
      <c r="L181" s="57">
        <f t="shared" si="53"/>
        <v>227.79999999999995</v>
      </c>
      <c r="M181" s="57">
        <f t="shared" si="53"/>
        <v>0</v>
      </c>
      <c r="N181" s="74"/>
      <c r="O181" s="84"/>
      <c r="P181" s="84"/>
      <c r="Q181" s="84"/>
      <c r="R181" s="85">
        <f t="shared" si="53"/>
        <v>24032.309999999998</v>
      </c>
      <c r="S181" s="56"/>
    </row>
    <row r="182" spans="1:19" ht="25.5">
      <c r="A182" s="156" t="s">
        <v>230</v>
      </c>
      <c r="B182" s="157" t="s">
        <v>195</v>
      </c>
      <c r="C182" s="157" t="s">
        <v>306</v>
      </c>
      <c r="D182" s="157" t="s">
        <v>255</v>
      </c>
      <c r="E182" s="157" t="s">
        <v>360</v>
      </c>
      <c r="F182" s="157"/>
      <c r="G182" s="57">
        <f>G183</f>
        <v>20388.7</v>
      </c>
      <c r="H182" s="57">
        <f t="shared" si="53"/>
        <v>3070.3</v>
      </c>
      <c r="I182" s="57">
        <f t="shared" si="53"/>
        <v>0</v>
      </c>
      <c r="J182" s="57">
        <f t="shared" si="53"/>
        <v>0</v>
      </c>
      <c r="K182" s="57">
        <f t="shared" si="53"/>
        <v>345.51</v>
      </c>
      <c r="L182" s="57">
        <f t="shared" si="53"/>
        <v>227.79999999999995</v>
      </c>
      <c r="M182" s="57">
        <f t="shared" si="53"/>
        <v>0</v>
      </c>
      <c r="N182" s="74"/>
      <c r="O182" s="84"/>
      <c r="P182" s="84"/>
      <c r="Q182" s="84"/>
      <c r="R182" s="85">
        <f t="shared" si="53"/>
        <v>24032.309999999998</v>
      </c>
      <c r="S182" s="56"/>
    </row>
    <row r="183" spans="1:19" ht="25.5">
      <c r="A183" s="156" t="s">
        <v>232</v>
      </c>
      <c r="B183" s="157" t="s">
        <v>195</v>
      </c>
      <c r="C183" s="157" t="s">
        <v>306</v>
      </c>
      <c r="D183" s="157" t="s">
        <v>255</v>
      </c>
      <c r="E183" s="157" t="s">
        <v>360</v>
      </c>
      <c r="F183" s="157" t="s">
        <v>233</v>
      </c>
      <c r="G183" s="57">
        <v>20388.7</v>
      </c>
      <c r="H183" s="58">
        <f>1400.3+1670</f>
        <v>3070.3</v>
      </c>
      <c r="I183" s="58"/>
      <c r="J183" s="58"/>
      <c r="K183" s="58">
        <v>345.51</v>
      </c>
      <c r="L183" s="58">
        <f>1227.8-1000</f>
        <v>227.79999999999995</v>
      </c>
      <c r="M183" s="58"/>
      <c r="N183" s="75"/>
      <c r="O183" s="86"/>
      <c r="P183" s="86"/>
      <c r="Q183" s="86"/>
      <c r="R183" s="87">
        <f>G183+H183+I183+J183+K183+L183</f>
        <v>24032.309999999998</v>
      </c>
      <c r="S183" s="56"/>
    </row>
    <row r="184" spans="1:19" ht="25.5">
      <c r="A184" s="161" t="s">
        <v>361</v>
      </c>
      <c r="B184" s="157" t="s">
        <v>195</v>
      </c>
      <c r="C184" s="157" t="s">
        <v>306</v>
      </c>
      <c r="D184" s="157" t="s">
        <v>255</v>
      </c>
      <c r="E184" s="157" t="s">
        <v>362</v>
      </c>
      <c r="F184" s="157"/>
      <c r="G184" s="57"/>
      <c r="H184" s="58"/>
      <c r="I184" s="58"/>
      <c r="J184" s="58"/>
      <c r="K184" s="58">
        <f>K185</f>
        <v>1000</v>
      </c>
      <c r="L184" s="58">
        <f>L185</f>
        <v>0</v>
      </c>
      <c r="M184" s="58">
        <f>M185</f>
        <v>0</v>
      </c>
      <c r="N184" s="75"/>
      <c r="O184" s="86"/>
      <c r="P184" s="86"/>
      <c r="Q184" s="86"/>
      <c r="R184" s="87">
        <f>R185</f>
        <v>1000</v>
      </c>
      <c r="S184" s="56"/>
    </row>
    <row r="185" spans="1:19" ht="25.5">
      <c r="A185" s="156" t="s">
        <v>200</v>
      </c>
      <c r="B185" s="157" t="s">
        <v>195</v>
      </c>
      <c r="C185" s="157" t="s">
        <v>306</v>
      </c>
      <c r="D185" s="157" t="s">
        <v>255</v>
      </c>
      <c r="E185" s="157" t="s">
        <v>362</v>
      </c>
      <c r="F185" s="157" t="s">
        <v>208</v>
      </c>
      <c r="G185" s="57"/>
      <c r="H185" s="58"/>
      <c r="I185" s="58"/>
      <c r="J185" s="58"/>
      <c r="K185" s="58">
        <v>1000</v>
      </c>
      <c r="L185" s="58"/>
      <c r="M185" s="58"/>
      <c r="N185" s="75"/>
      <c r="O185" s="86"/>
      <c r="P185" s="86"/>
      <c r="Q185" s="86"/>
      <c r="R185" s="87">
        <f>K185</f>
        <v>1000</v>
      </c>
      <c r="S185" s="56"/>
    </row>
    <row r="186" spans="1:19" ht="89.25">
      <c r="A186" s="156" t="s">
        <v>363</v>
      </c>
      <c r="B186" s="157" t="s">
        <v>195</v>
      </c>
      <c r="C186" s="157" t="s">
        <v>306</v>
      </c>
      <c r="D186" s="157" t="s">
        <v>255</v>
      </c>
      <c r="E186" s="157" t="s">
        <v>364</v>
      </c>
      <c r="F186" s="157"/>
      <c r="G186" s="57">
        <f>G187</f>
        <v>33098.4</v>
      </c>
      <c r="H186" s="57">
        <f aca="true" t="shared" si="54" ref="H186:R187">H187</f>
        <v>0</v>
      </c>
      <c r="I186" s="57">
        <f t="shared" si="54"/>
        <v>0</v>
      </c>
      <c r="J186" s="57">
        <f t="shared" si="54"/>
        <v>0</v>
      </c>
      <c r="K186" s="57">
        <f t="shared" si="54"/>
        <v>34.40686</v>
      </c>
      <c r="L186" s="57">
        <f t="shared" si="54"/>
        <v>0</v>
      </c>
      <c r="M186" s="57">
        <f t="shared" si="54"/>
        <v>0</v>
      </c>
      <c r="N186" s="74">
        <f t="shared" si="54"/>
        <v>0</v>
      </c>
      <c r="O186" s="84">
        <f t="shared" si="54"/>
        <v>70</v>
      </c>
      <c r="P186" s="84"/>
      <c r="Q186" s="84"/>
      <c r="R186" s="85">
        <f t="shared" si="54"/>
        <v>33202.806860000004</v>
      </c>
      <c r="S186" s="56"/>
    </row>
    <row r="187" spans="1:19" ht="25.5">
      <c r="A187" s="156" t="s">
        <v>230</v>
      </c>
      <c r="B187" s="157" t="s">
        <v>195</v>
      </c>
      <c r="C187" s="157" t="s">
        <v>306</v>
      </c>
      <c r="D187" s="157" t="s">
        <v>255</v>
      </c>
      <c r="E187" s="157" t="s">
        <v>365</v>
      </c>
      <c r="F187" s="157"/>
      <c r="G187" s="57">
        <f>G188</f>
        <v>33098.4</v>
      </c>
      <c r="H187" s="57">
        <f t="shared" si="54"/>
        <v>0</v>
      </c>
      <c r="I187" s="57">
        <f t="shared" si="54"/>
        <v>0</v>
      </c>
      <c r="J187" s="57">
        <f t="shared" si="54"/>
        <v>0</v>
      </c>
      <c r="K187" s="57">
        <f t="shared" si="54"/>
        <v>34.40686</v>
      </c>
      <c r="L187" s="57">
        <f t="shared" si="54"/>
        <v>0</v>
      </c>
      <c r="M187" s="57">
        <f t="shared" si="54"/>
        <v>0</v>
      </c>
      <c r="N187" s="74">
        <f t="shared" si="54"/>
        <v>0</v>
      </c>
      <c r="O187" s="84">
        <f t="shared" si="54"/>
        <v>70</v>
      </c>
      <c r="P187" s="84"/>
      <c r="Q187" s="84"/>
      <c r="R187" s="85">
        <f t="shared" si="54"/>
        <v>33202.806860000004</v>
      </c>
      <c r="S187" s="56"/>
    </row>
    <row r="188" spans="1:19" ht="25.5">
      <c r="A188" s="156" t="s">
        <v>232</v>
      </c>
      <c r="B188" s="157" t="s">
        <v>195</v>
      </c>
      <c r="C188" s="157" t="s">
        <v>306</v>
      </c>
      <c r="D188" s="157" t="s">
        <v>255</v>
      </c>
      <c r="E188" s="157" t="s">
        <v>365</v>
      </c>
      <c r="F188" s="157" t="s">
        <v>233</v>
      </c>
      <c r="G188" s="57">
        <v>33098.4</v>
      </c>
      <c r="H188" s="58"/>
      <c r="I188" s="58"/>
      <c r="J188" s="58"/>
      <c r="K188" s="58">
        <f>75-40.59314</f>
        <v>34.40686</v>
      </c>
      <c r="L188" s="58"/>
      <c r="M188" s="58"/>
      <c r="N188" s="75"/>
      <c r="O188" s="86">
        <v>70</v>
      </c>
      <c r="P188" s="86"/>
      <c r="Q188" s="86"/>
      <c r="R188" s="87">
        <f>G188+H188+I188+K188+O188</f>
        <v>33202.806860000004</v>
      </c>
      <c r="S188" s="56"/>
    </row>
    <row r="189" spans="1:19" ht="25.5">
      <c r="A189" s="156" t="s">
        <v>250</v>
      </c>
      <c r="B189" s="157" t="s">
        <v>195</v>
      </c>
      <c r="C189" s="157" t="s">
        <v>306</v>
      </c>
      <c r="D189" s="157" t="s">
        <v>255</v>
      </c>
      <c r="E189" s="157" t="s">
        <v>251</v>
      </c>
      <c r="F189" s="157"/>
      <c r="G189" s="57">
        <f aca="true" t="shared" si="55" ref="G189:R189">G190</f>
        <v>0</v>
      </c>
      <c r="H189" s="57">
        <f t="shared" si="55"/>
        <v>1000</v>
      </c>
      <c r="I189" s="57">
        <f t="shared" si="55"/>
        <v>0</v>
      </c>
      <c r="J189" s="57">
        <f t="shared" si="55"/>
        <v>0</v>
      </c>
      <c r="K189" s="57">
        <f t="shared" si="55"/>
        <v>-1000</v>
      </c>
      <c r="L189" s="57">
        <f t="shared" si="55"/>
        <v>0</v>
      </c>
      <c r="M189" s="57">
        <f t="shared" si="55"/>
        <v>0</v>
      </c>
      <c r="N189" s="74"/>
      <c r="O189" s="84"/>
      <c r="P189" s="84"/>
      <c r="Q189" s="84"/>
      <c r="R189" s="85">
        <f t="shared" si="55"/>
        <v>0</v>
      </c>
      <c r="S189" s="56"/>
    </row>
    <row r="190" spans="1:19" ht="25.5">
      <c r="A190" s="156" t="s">
        <v>200</v>
      </c>
      <c r="B190" s="157" t="s">
        <v>195</v>
      </c>
      <c r="C190" s="157" t="s">
        <v>306</v>
      </c>
      <c r="D190" s="157" t="s">
        <v>255</v>
      </c>
      <c r="E190" s="157" t="s">
        <v>251</v>
      </c>
      <c r="F190" s="157" t="s">
        <v>208</v>
      </c>
      <c r="G190" s="57"/>
      <c r="H190" s="58">
        <v>1000</v>
      </c>
      <c r="I190" s="58"/>
      <c r="J190" s="58"/>
      <c r="K190" s="58">
        <v>-1000</v>
      </c>
      <c r="L190" s="58"/>
      <c r="M190" s="58"/>
      <c r="N190" s="75"/>
      <c r="O190" s="86"/>
      <c r="P190" s="86"/>
      <c r="Q190" s="86"/>
      <c r="R190" s="87">
        <f>H190+K190</f>
        <v>0</v>
      </c>
      <c r="S190" s="56"/>
    </row>
    <row r="191" spans="1:19" ht="25.5">
      <c r="A191" s="154" t="s">
        <v>366</v>
      </c>
      <c r="B191" s="155"/>
      <c r="C191" s="155" t="s">
        <v>277</v>
      </c>
      <c r="D191" s="155"/>
      <c r="E191" s="155"/>
      <c r="F191" s="155"/>
      <c r="G191" s="54">
        <f aca="true" t="shared" si="56" ref="G191:M191">G197+G205+G192+G202</f>
        <v>13776</v>
      </c>
      <c r="H191" s="54">
        <f t="shared" si="56"/>
        <v>16217.42</v>
      </c>
      <c r="I191" s="54">
        <f t="shared" si="56"/>
        <v>0</v>
      </c>
      <c r="J191" s="54">
        <f t="shared" si="56"/>
        <v>1565.38502</v>
      </c>
      <c r="K191" s="54">
        <f t="shared" si="56"/>
        <v>0</v>
      </c>
      <c r="L191" s="54">
        <f t="shared" si="56"/>
        <v>708</v>
      </c>
      <c r="M191" s="54">
        <f t="shared" si="56"/>
        <v>0</v>
      </c>
      <c r="N191" s="73">
        <f>N197+N205+N192+N202+N195</f>
        <v>349.5</v>
      </c>
      <c r="O191" s="82">
        <f>O197+O205+O192+O202+O195</f>
        <v>0</v>
      </c>
      <c r="P191" s="82"/>
      <c r="Q191" s="82">
        <f>Q195</f>
        <v>-250</v>
      </c>
      <c r="R191" s="83">
        <f>R197+R205+R192+R202+R195</f>
        <v>32116.30502</v>
      </c>
      <c r="S191" s="56"/>
    </row>
    <row r="192" spans="1:19" ht="38.25">
      <c r="A192" s="156" t="s">
        <v>367</v>
      </c>
      <c r="B192" s="157" t="s">
        <v>195</v>
      </c>
      <c r="C192" s="157" t="s">
        <v>277</v>
      </c>
      <c r="D192" s="157" t="s">
        <v>190</v>
      </c>
      <c r="E192" s="157" t="s">
        <v>368</v>
      </c>
      <c r="F192" s="155"/>
      <c r="G192" s="57">
        <f>G193</f>
        <v>10331.8</v>
      </c>
      <c r="H192" s="57">
        <f aca="true" t="shared" si="57" ref="H192:R193">H193</f>
        <v>0</v>
      </c>
      <c r="I192" s="57">
        <f t="shared" si="57"/>
        <v>0</v>
      </c>
      <c r="J192" s="57">
        <f t="shared" si="57"/>
        <v>220</v>
      </c>
      <c r="K192" s="57">
        <f t="shared" si="57"/>
        <v>0</v>
      </c>
      <c r="L192" s="57">
        <f t="shared" si="57"/>
        <v>185</v>
      </c>
      <c r="M192" s="57">
        <f t="shared" si="57"/>
        <v>0</v>
      </c>
      <c r="N192" s="74"/>
      <c r="O192" s="84"/>
      <c r="P192" s="84"/>
      <c r="Q192" s="84"/>
      <c r="R192" s="85">
        <f t="shared" si="57"/>
        <v>10736.8</v>
      </c>
      <c r="S192" s="56"/>
    </row>
    <row r="193" spans="1:19" ht="25.5">
      <c r="A193" s="156" t="s">
        <v>230</v>
      </c>
      <c r="B193" s="157" t="s">
        <v>195</v>
      </c>
      <c r="C193" s="157" t="s">
        <v>277</v>
      </c>
      <c r="D193" s="157" t="s">
        <v>190</v>
      </c>
      <c r="E193" s="157" t="s">
        <v>369</v>
      </c>
      <c r="F193" s="155"/>
      <c r="G193" s="57">
        <f>G194</f>
        <v>10331.8</v>
      </c>
      <c r="H193" s="57">
        <f t="shared" si="57"/>
        <v>0</v>
      </c>
      <c r="I193" s="57">
        <f t="shared" si="57"/>
        <v>0</v>
      </c>
      <c r="J193" s="57">
        <f t="shared" si="57"/>
        <v>220</v>
      </c>
      <c r="K193" s="57">
        <f t="shared" si="57"/>
        <v>0</v>
      </c>
      <c r="L193" s="57">
        <f t="shared" si="57"/>
        <v>185</v>
      </c>
      <c r="M193" s="57">
        <f t="shared" si="57"/>
        <v>0</v>
      </c>
      <c r="N193" s="74"/>
      <c r="O193" s="84"/>
      <c r="P193" s="84"/>
      <c r="Q193" s="84"/>
      <c r="R193" s="85">
        <f t="shared" si="57"/>
        <v>10736.8</v>
      </c>
      <c r="S193" s="56"/>
    </row>
    <row r="194" spans="1:19" ht="25.5">
      <c r="A194" s="156" t="s">
        <v>232</v>
      </c>
      <c r="B194" s="157" t="s">
        <v>195</v>
      </c>
      <c r="C194" s="157" t="s">
        <v>277</v>
      </c>
      <c r="D194" s="157" t="s">
        <v>190</v>
      </c>
      <c r="E194" s="157" t="s">
        <v>369</v>
      </c>
      <c r="F194" s="157" t="s">
        <v>233</v>
      </c>
      <c r="G194" s="57">
        <v>10331.8</v>
      </c>
      <c r="H194" s="58"/>
      <c r="I194" s="58"/>
      <c r="J194" s="58">
        <f>545-325</f>
        <v>220</v>
      </c>
      <c r="K194" s="58"/>
      <c r="L194" s="58">
        <v>185</v>
      </c>
      <c r="M194" s="58"/>
      <c r="N194" s="75"/>
      <c r="O194" s="86"/>
      <c r="P194" s="86"/>
      <c r="Q194" s="86"/>
      <c r="R194" s="87">
        <f>G194+H194+I194+J194+L194</f>
        <v>10736.8</v>
      </c>
      <c r="S194" s="56"/>
    </row>
    <row r="195" spans="1:19" ht="63.75">
      <c r="A195" s="161" t="s">
        <v>491</v>
      </c>
      <c r="B195" s="157" t="s">
        <v>195</v>
      </c>
      <c r="C195" s="157" t="s">
        <v>277</v>
      </c>
      <c r="D195" s="157" t="s">
        <v>190</v>
      </c>
      <c r="E195" s="157" t="s">
        <v>490</v>
      </c>
      <c r="F195" s="157"/>
      <c r="G195" s="57"/>
      <c r="H195" s="58"/>
      <c r="I195" s="58"/>
      <c r="J195" s="58"/>
      <c r="K195" s="58"/>
      <c r="L195" s="58"/>
      <c r="M195" s="58"/>
      <c r="N195" s="75">
        <f>N196</f>
        <v>250</v>
      </c>
      <c r="O195" s="86">
        <f>O196</f>
        <v>0</v>
      </c>
      <c r="P195" s="86"/>
      <c r="Q195" s="86">
        <f>Q196</f>
        <v>-250</v>
      </c>
      <c r="R195" s="86">
        <f>R196+Q195</f>
        <v>-250</v>
      </c>
      <c r="S195" s="56"/>
    </row>
    <row r="196" spans="1:19" ht="25.5">
      <c r="A196" s="156" t="s">
        <v>232</v>
      </c>
      <c r="B196" s="157" t="s">
        <v>195</v>
      </c>
      <c r="C196" s="157" t="s">
        <v>277</v>
      </c>
      <c r="D196" s="157" t="s">
        <v>190</v>
      </c>
      <c r="E196" s="157" t="s">
        <v>490</v>
      </c>
      <c r="F196" s="157" t="s">
        <v>233</v>
      </c>
      <c r="G196" s="57"/>
      <c r="H196" s="58"/>
      <c r="I196" s="58"/>
      <c r="J196" s="58"/>
      <c r="K196" s="58"/>
      <c r="L196" s="58"/>
      <c r="M196" s="58"/>
      <c r="N196" s="75">
        <v>250</v>
      </c>
      <c r="O196" s="86"/>
      <c r="P196" s="86"/>
      <c r="Q196" s="86">
        <v>-250</v>
      </c>
      <c r="R196" s="87">
        <f>N196+Q196</f>
        <v>0</v>
      </c>
      <c r="S196" s="56"/>
    </row>
    <row r="197" spans="1:19" ht="12.75">
      <c r="A197" s="154" t="s">
        <v>370</v>
      </c>
      <c r="B197" s="155" t="s">
        <v>195</v>
      </c>
      <c r="C197" s="155" t="s">
        <v>277</v>
      </c>
      <c r="D197" s="155" t="s">
        <v>190</v>
      </c>
      <c r="E197" s="155" t="s">
        <v>371</v>
      </c>
      <c r="F197" s="155"/>
      <c r="G197" s="54">
        <f aca="true" t="shared" si="58" ref="G197:M197">G200</f>
        <v>2844.2</v>
      </c>
      <c r="H197" s="54">
        <f t="shared" si="58"/>
        <v>16217.42</v>
      </c>
      <c r="I197" s="54">
        <f t="shared" si="58"/>
        <v>0</v>
      </c>
      <c r="J197" s="54">
        <f t="shared" si="58"/>
        <v>1020.3850199999999</v>
      </c>
      <c r="K197" s="54">
        <f t="shared" si="58"/>
        <v>0</v>
      </c>
      <c r="L197" s="54">
        <f t="shared" si="58"/>
        <v>0</v>
      </c>
      <c r="M197" s="54">
        <f t="shared" si="58"/>
        <v>0</v>
      </c>
      <c r="N197" s="73">
        <f>N200+N198</f>
        <v>99.5</v>
      </c>
      <c r="O197" s="82">
        <f>O200+O198</f>
        <v>0</v>
      </c>
      <c r="P197" s="82"/>
      <c r="Q197" s="82"/>
      <c r="R197" s="83">
        <f>R200+R198</f>
        <v>20181.50502</v>
      </c>
      <c r="S197" s="56"/>
    </row>
    <row r="198" spans="1:19" ht="63.75">
      <c r="A198" s="176" t="s">
        <v>493</v>
      </c>
      <c r="B198" s="157" t="s">
        <v>195</v>
      </c>
      <c r="C198" s="157" t="s">
        <v>277</v>
      </c>
      <c r="D198" s="157" t="s">
        <v>190</v>
      </c>
      <c r="E198" s="157" t="s">
        <v>492</v>
      </c>
      <c r="F198" s="157"/>
      <c r="G198" s="57"/>
      <c r="H198" s="57"/>
      <c r="I198" s="57"/>
      <c r="J198" s="57"/>
      <c r="K198" s="57"/>
      <c r="L198" s="57"/>
      <c r="M198" s="57"/>
      <c r="N198" s="74">
        <f>N199</f>
        <v>99.5</v>
      </c>
      <c r="O198" s="84">
        <f>O199</f>
        <v>0</v>
      </c>
      <c r="P198" s="84"/>
      <c r="Q198" s="84"/>
      <c r="R198" s="84">
        <f>R199</f>
        <v>99.5</v>
      </c>
      <c r="S198" s="56"/>
    </row>
    <row r="199" spans="1:19" ht="25.5">
      <c r="A199" s="156" t="s">
        <v>232</v>
      </c>
      <c r="B199" s="157" t="s">
        <v>195</v>
      </c>
      <c r="C199" s="157" t="s">
        <v>277</v>
      </c>
      <c r="D199" s="157" t="s">
        <v>190</v>
      </c>
      <c r="E199" s="157" t="s">
        <v>492</v>
      </c>
      <c r="F199" s="157" t="s">
        <v>233</v>
      </c>
      <c r="G199" s="57"/>
      <c r="H199" s="57"/>
      <c r="I199" s="57"/>
      <c r="J199" s="57"/>
      <c r="K199" s="57"/>
      <c r="L199" s="57"/>
      <c r="M199" s="57"/>
      <c r="N199" s="74">
        <v>99.5</v>
      </c>
      <c r="O199" s="84"/>
      <c r="P199" s="84"/>
      <c r="Q199" s="84"/>
      <c r="R199" s="85">
        <f>N199</f>
        <v>99.5</v>
      </c>
      <c r="S199" s="56"/>
    </row>
    <row r="200" spans="1:19" ht="25.5">
      <c r="A200" s="156" t="s">
        <v>230</v>
      </c>
      <c r="B200" s="157" t="s">
        <v>195</v>
      </c>
      <c r="C200" s="157" t="s">
        <v>277</v>
      </c>
      <c r="D200" s="157" t="s">
        <v>190</v>
      </c>
      <c r="E200" s="157" t="s">
        <v>372</v>
      </c>
      <c r="F200" s="157"/>
      <c r="G200" s="57">
        <f>G201</f>
        <v>2844.2</v>
      </c>
      <c r="H200" s="57">
        <f aca="true" t="shared" si="59" ref="H200:R200">H201</f>
        <v>16217.42</v>
      </c>
      <c r="I200" s="57">
        <f t="shared" si="59"/>
        <v>0</v>
      </c>
      <c r="J200" s="57">
        <f t="shared" si="59"/>
        <v>1020.3850199999999</v>
      </c>
      <c r="K200" s="57">
        <f t="shared" si="59"/>
        <v>0</v>
      </c>
      <c r="L200" s="57">
        <f t="shared" si="59"/>
        <v>0</v>
      </c>
      <c r="M200" s="57">
        <f t="shared" si="59"/>
        <v>0</v>
      </c>
      <c r="N200" s="74"/>
      <c r="O200" s="84"/>
      <c r="P200" s="84"/>
      <c r="Q200" s="84"/>
      <c r="R200" s="85">
        <f t="shared" si="59"/>
        <v>20082.00502</v>
      </c>
      <c r="S200" s="56"/>
    </row>
    <row r="201" spans="1:19" ht="25.5">
      <c r="A201" s="156" t="s">
        <v>232</v>
      </c>
      <c r="B201" s="157" t="s">
        <v>195</v>
      </c>
      <c r="C201" s="157" t="s">
        <v>277</v>
      </c>
      <c r="D201" s="157" t="s">
        <v>190</v>
      </c>
      <c r="E201" s="157" t="s">
        <v>372</v>
      </c>
      <c r="F201" s="157" t="s">
        <v>233</v>
      </c>
      <c r="G201" s="57">
        <v>2844.2</v>
      </c>
      <c r="H201" s="58">
        <v>16217.42</v>
      </c>
      <c r="I201" s="58"/>
      <c r="J201" s="58">
        <f>62.38502+700+258</f>
        <v>1020.3850199999999</v>
      </c>
      <c r="K201" s="58"/>
      <c r="L201" s="58"/>
      <c r="M201" s="58"/>
      <c r="N201" s="75"/>
      <c r="O201" s="86"/>
      <c r="P201" s="86"/>
      <c r="Q201" s="86"/>
      <c r="R201" s="87">
        <f>G201+H201+I201+J201</f>
        <v>20082.00502</v>
      </c>
      <c r="S201" s="56"/>
    </row>
    <row r="202" spans="1:19" ht="38.25">
      <c r="A202" s="158" t="s">
        <v>373</v>
      </c>
      <c r="B202" s="155"/>
      <c r="C202" s="155" t="s">
        <v>277</v>
      </c>
      <c r="D202" s="155" t="s">
        <v>203</v>
      </c>
      <c r="E202" s="155"/>
      <c r="F202" s="155"/>
      <c r="G202" s="57"/>
      <c r="H202" s="58"/>
      <c r="I202" s="62">
        <f>I203</f>
        <v>600</v>
      </c>
      <c r="J202" s="62">
        <f aca="true" t="shared" si="60" ref="J202:M203">J203</f>
        <v>325</v>
      </c>
      <c r="K202" s="62">
        <f t="shared" si="60"/>
        <v>0</v>
      </c>
      <c r="L202" s="62">
        <f t="shared" si="60"/>
        <v>523</v>
      </c>
      <c r="M202" s="62">
        <f t="shared" si="60"/>
        <v>0</v>
      </c>
      <c r="N202" s="79"/>
      <c r="O202" s="94"/>
      <c r="P202" s="94"/>
      <c r="Q202" s="94"/>
      <c r="R202" s="95">
        <f>R203</f>
        <v>1448</v>
      </c>
      <c r="S202" s="56"/>
    </row>
    <row r="203" spans="1:19" ht="25.5">
      <c r="A203" s="159" t="s">
        <v>250</v>
      </c>
      <c r="B203" s="157" t="s">
        <v>195</v>
      </c>
      <c r="C203" s="157" t="s">
        <v>277</v>
      </c>
      <c r="D203" s="157" t="s">
        <v>203</v>
      </c>
      <c r="E203" s="157" t="s">
        <v>251</v>
      </c>
      <c r="F203" s="157"/>
      <c r="G203" s="57"/>
      <c r="H203" s="58"/>
      <c r="I203" s="58">
        <f>I204</f>
        <v>600</v>
      </c>
      <c r="J203" s="58">
        <f t="shared" si="60"/>
        <v>325</v>
      </c>
      <c r="K203" s="58">
        <f t="shared" si="60"/>
        <v>0</v>
      </c>
      <c r="L203" s="58">
        <f t="shared" si="60"/>
        <v>523</v>
      </c>
      <c r="M203" s="58">
        <f t="shared" si="60"/>
        <v>0</v>
      </c>
      <c r="N203" s="75"/>
      <c r="O203" s="86"/>
      <c r="P203" s="86"/>
      <c r="Q203" s="86"/>
      <c r="R203" s="87">
        <f>R204</f>
        <v>1448</v>
      </c>
      <c r="S203" s="56"/>
    </row>
    <row r="204" spans="1:19" ht="25.5">
      <c r="A204" s="156" t="s">
        <v>200</v>
      </c>
      <c r="B204" s="157" t="s">
        <v>195</v>
      </c>
      <c r="C204" s="157" t="s">
        <v>277</v>
      </c>
      <c r="D204" s="157" t="s">
        <v>203</v>
      </c>
      <c r="E204" s="157" t="s">
        <v>251</v>
      </c>
      <c r="F204" s="157" t="s">
        <v>208</v>
      </c>
      <c r="G204" s="57"/>
      <c r="H204" s="58"/>
      <c r="I204" s="58">
        <v>600</v>
      </c>
      <c r="J204" s="58">
        <v>325</v>
      </c>
      <c r="K204" s="58"/>
      <c r="L204" s="58">
        <v>523</v>
      </c>
      <c r="M204" s="58"/>
      <c r="N204" s="75"/>
      <c r="O204" s="86"/>
      <c r="P204" s="86"/>
      <c r="Q204" s="86"/>
      <c r="R204" s="87">
        <f>G204+H204+I204+L204+J204</f>
        <v>1448</v>
      </c>
      <c r="S204" s="56"/>
    </row>
    <row r="205" spans="1:19" ht="38.25">
      <c r="A205" s="158" t="s">
        <v>373</v>
      </c>
      <c r="B205" s="155"/>
      <c r="C205" s="155" t="s">
        <v>277</v>
      </c>
      <c r="D205" s="155" t="s">
        <v>210</v>
      </c>
      <c r="E205" s="155"/>
      <c r="F205" s="155"/>
      <c r="G205" s="54">
        <f>G206</f>
        <v>600</v>
      </c>
      <c r="H205" s="54">
        <f aca="true" t="shared" si="61" ref="H205:R206">H206</f>
        <v>0</v>
      </c>
      <c r="I205" s="54">
        <f t="shared" si="61"/>
        <v>-600</v>
      </c>
      <c r="J205" s="54">
        <f t="shared" si="61"/>
        <v>0</v>
      </c>
      <c r="K205" s="54">
        <f t="shared" si="61"/>
        <v>0</v>
      </c>
      <c r="L205" s="54">
        <f t="shared" si="61"/>
        <v>0</v>
      </c>
      <c r="M205" s="54">
        <f t="shared" si="61"/>
        <v>0</v>
      </c>
      <c r="N205" s="73"/>
      <c r="O205" s="82"/>
      <c r="P205" s="82"/>
      <c r="Q205" s="82"/>
      <c r="R205" s="83">
        <f t="shared" si="61"/>
        <v>0</v>
      </c>
      <c r="S205" s="56"/>
    </row>
    <row r="206" spans="1:19" ht="25.5">
      <c r="A206" s="159" t="s">
        <v>250</v>
      </c>
      <c r="B206" s="157" t="s">
        <v>195</v>
      </c>
      <c r="C206" s="157" t="s">
        <v>277</v>
      </c>
      <c r="D206" s="157" t="s">
        <v>210</v>
      </c>
      <c r="E206" s="157" t="s">
        <v>251</v>
      </c>
      <c r="F206" s="157"/>
      <c r="G206" s="57">
        <f>G207</f>
        <v>600</v>
      </c>
      <c r="H206" s="57">
        <f t="shared" si="61"/>
        <v>0</v>
      </c>
      <c r="I206" s="57">
        <f t="shared" si="61"/>
        <v>-600</v>
      </c>
      <c r="J206" s="57">
        <f t="shared" si="61"/>
        <v>0</v>
      </c>
      <c r="K206" s="57">
        <f t="shared" si="61"/>
        <v>0</v>
      </c>
      <c r="L206" s="57">
        <f t="shared" si="61"/>
        <v>0</v>
      </c>
      <c r="M206" s="57">
        <f t="shared" si="61"/>
        <v>0</v>
      </c>
      <c r="N206" s="74"/>
      <c r="O206" s="84"/>
      <c r="P206" s="84"/>
      <c r="Q206" s="84"/>
      <c r="R206" s="85">
        <f t="shared" si="61"/>
        <v>0</v>
      </c>
      <c r="S206" s="56"/>
    </row>
    <row r="207" spans="1:19" ht="25.5">
      <c r="A207" s="156" t="s">
        <v>200</v>
      </c>
      <c r="B207" s="157" t="s">
        <v>195</v>
      </c>
      <c r="C207" s="157" t="s">
        <v>277</v>
      </c>
      <c r="D207" s="157" t="s">
        <v>210</v>
      </c>
      <c r="E207" s="157" t="s">
        <v>251</v>
      </c>
      <c r="F207" s="157" t="s">
        <v>208</v>
      </c>
      <c r="G207" s="57">
        <v>600</v>
      </c>
      <c r="H207" s="58"/>
      <c r="I207" s="58">
        <v>-600</v>
      </c>
      <c r="J207" s="58"/>
      <c r="K207" s="58"/>
      <c r="L207" s="58"/>
      <c r="M207" s="58"/>
      <c r="N207" s="75"/>
      <c r="O207" s="86"/>
      <c r="P207" s="86"/>
      <c r="Q207" s="86"/>
      <c r="R207" s="87">
        <f>G207+H207+I207</f>
        <v>0</v>
      </c>
      <c r="S207" s="56"/>
    </row>
    <row r="208" spans="1:19" ht="25.5">
      <c r="A208" s="154" t="s">
        <v>374</v>
      </c>
      <c r="B208" s="155"/>
      <c r="C208" s="155" t="s">
        <v>255</v>
      </c>
      <c r="D208" s="155"/>
      <c r="E208" s="155"/>
      <c r="F208" s="155"/>
      <c r="G208" s="54">
        <f aca="true" t="shared" si="62" ref="G208:R208">G209+G223+G238+G234+G244</f>
        <v>237520.6</v>
      </c>
      <c r="H208" s="54">
        <f t="shared" si="62"/>
        <v>2863.8</v>
      </c>
      <c r="I208" s="54">
        <f t="shared" si="62"/>
        <v>117.70000000000013</v>
      </c>
      <c r="J208" s="54">
        <f t="shared" si="62"/>
        <v>1042</v>
      </c>
      <c r="K208" s="54">
        <f t="shared" si="62"/>
        <v>-75</v>
      </c>
      <c r="L208" s="54">
        <f t="shared" si="62"/>
        <v>5990</v>
      </c>
      <c r="M208" s="54">
        <f t="shared" si="62"/>
        <v>0</v>
      </c>
      <c r="N208" s="73">
        <f t="shared" si="62"/>
        <v>24404.66</v>
      </c>
      <c r="O208" s="82">
        <f t="shared" si="62"/>
        <v>0</v>
      </c>
      <c r="P208" s="82">
        <f>P209+P223+P234+P238+P244</f>
        <v>1264</v>
      </c>
      <c r="Q208" s="82"/>
      <c r="R208" s="83">
        <f t="shared" si="62"/>
        <v>273127.76</v>
      </c>
      <c r="S208" s="56"/>
    </row>
    <row r="209" spans="1:19" ht="25.5">
      <c r="A209" s="154" t="s">
        <v>375</v>
      </c>
      <c r="B209" s="155"/>
      <c r="C209" s="155" t="s">
        <v>255</v>
      </c>
      <c r="D209" s="155" t="s">
        <v>190</v>
      </c>
      <c r="E209" s="155"/>
      <c r="F209" s="155"/>
      <c r="G209" s="54">
        <f>G214+G219+G217</f>
        <v>169441.2</v>
      </c>
      <c r="H209" s="54">
        <f aca="true" t="shared" si="63" ref="H209:M209">H214+H219+H217</f>
        <v>959.3</v>
      </c>
      <c r="I209" s="54">
        <f t="shared" si="63"/>
        <v>-1533.8074</v>
      </c>
      <c r="J209" s="54">
        <f t="shared" si="63"/>
        <v>1042</v>
      </c>
      <c r="K209" s="54">
        <f t="shared" si="63"/>
        <v>-75</v>
      </c>
      <c r="L209" s="54">
        <f>L214+L219+L217+L221</f>
        <v>5990</v>
      </c>
      <c r="M209" s="54">
        <f t="shared" si="63"/>
        <v>0</v>
      </c>
      <c r="N209" s="73">
        <f>N214+N219+N217+N210</f>
        <v>24404.66</v>
      </c>
      <c r="O209" s="82">
        <f>O214+O219+O217+O210</f>
        <v>-600</v>
      </c>
      <c r="P209" s="82">
        <f>P210+P212+P214+P217+P219+P221</f>
        <v>1264</v>
      </c>
      <c r="Q209" s="82"/>
      <c r="R209" s="83">
        <f>R214+R219+R217+R210+R221+R212</f>
        <v>200892.3526</v>
      </c>
      <c r="S209" s="56"/>
    </row>
    <row r="210" spans="1:19" ht="12.75">
      <c r="A210" s="156"/>
      <c r="B210" s="157" t="s">
        <v>195</v>
      </c>
      <c r="C210" s="157" t="s">
        <v>255</v>
      </c>
      <c r="D210" s="157" t="s">
        <v>190</v>
      </c>
      <c r="E210" s="157" t="s">
        <v>485</v>
      </c>
      <c r="F210" s="157"/>
      <c r="G210" s="57"/>
      <c r="H210" s="57"/>
      <c r="I210" s="57"/>
      <c r="J210" s="57"/>
      <c r="K210" s="57"/>
      <c r="L210" s="57"/>
      <c r="M210" s="57"/>
      <c r="N210" s="74">
        <f>N211</f>
        <v>18064.66</v>
      </c>
      <c r="O210" s="84">
        <f>O211</f>
        <v>0</v>
      </c>
      <c r="P210" s="84"/>
      <c r="Q210" s="84"/>
      <c r="R210" s="84">
        <f>R211</f>
        <v>0</v>
      </c>
      <c r="S210" s="56"/>
    </row>
    <row r="211" spans="1:19" ht="25.5">
      <c r="A211" s="156" t="s">
        <v>232</v>
      </c>
      <c r="B211" s="157" t="s">
        <v>195</v>
      </c>
      <c r="C211" s="157" t="s">
        <v>255</v>
      </c>
      <c r="D211" s="157" t="s">
        <v>190</v>
      </c>
      <c r="E211" s="157" t="s">
        <v>485</v>
      </c>
      <c r="F211" s="157" t="s">
        <v>233</v>
      </c>
      <c r="G211" s="57"/>
      <c r="H211" s="57"/>
      <c r="I211" s="57"/>
      <c r="J211" s="57"/>
      <c r="K211" s="57"/>
      <c r="L211" s="57"/>
      <c r="M211" s="57"/>
      <c r="N211" s="74">
        <v>18064.66</v>
      </c>
      <c r="O211" s="84"/>
      <c r="P211" s="84"/>
      <c r="Q211" s="84">
        <v>-18064.66</v>
      </c>
      <c r="R211" s="85">
        <f>N211+Q211</f>
        <v>0</v>
      </c>
      <c r="S211" s="56"/>
    </row>
    <row r="212" spans="1:19" ht="66" customHeight="1">
      <c r="A212" s="81" t="s">
        <v>505</v>
      </c>
      <c r="B212" s="157" t="s">
        <v>195</v>
      </c>
      <c r="C212" s="157" t="s">
        <v>255</v>
      </c>
      <c r="D212" s="157" t="s">
        <v>190</v>
      </c>
      <c r="E212" s="157" t="s">
        <v>504</v>
      </c>
      <c r="F212" s="157"/>
      <c r="G212" s="57"/>
      <c r="H212" s="57"/>
      <c r="I212" s="57"/>
      <c r="J212" s="57"/>
      <c r="K212" s="57"/>
      <c r="L212" s="57"/>
      <c r="M212" s="57"/>
      <c r="N212" s="74"/>
      <c r="O212" s="84"/>
      <c r="P212" s="84"/>
      <c r="Q212" s="84">
        <f>Q213</f>
        <v>18064.66</v>
      </c>
      <c r="R212" s="85">
        <f>R213</f>
        <v>18064.66</v>
      </c>
      <c r="S212" s="56"/>
    </row>
    <row r="213" spans="1:19" ht="25.5">
      <c r="A213" s="156" t="s">
        <v>232</v>
      </c>
      <c r="B213" s="157" t="s">
        <v>195</v>
      </c>
      <c r="C213" s="157" t="s">
        <v>255</v>
      </c>
      <c r="D213" s="157" t="s">
        <v>190</v>
      </c>
      <c r="E213" s="157" t="s">
        <v>504</v>
      </c>
      <c r="F213" s="157" t="s">
        <v>233</v>
      </c>
      <c r="G213" s="57"/>
      <c r="H213" s="57"/>
      <c r="I213" s="57"/>
      <c r="J213" s="57"/>
      <c r="K213" s="57"/>
      <c r="L213" s="57"/>
      <c r="M213" s="57"/>
      <c r="N213" s="74"/>
      <c r="O213" s="84"/>
      <c r="P213" s="84"/>
      <c r="Q213" s="84">
        <v>18064.66</v>
      </c>
      <c r="R213" s="85">
        <f>Q213</f>
        <v>18064.66</v>
      </c>
      <c r="S213" s="56"/>
    </row>
    <row r="214" spans="1:19" ht="25.5">
      <c r="A214" s="156" t="s">
        <v>376</v>
      </c>
      <c r="B214" s="157" t="s">
        <v>195</v>
      </c>
      <c r="C214" s="157" t="s">
        <v>255</v>
      </c>
      <c r="D214" s="157" t="s">
        <v>190</v>
      </c>
      <c r="E214" s="157" t="s">
        <v>377</v>
      </c>
      <c r="F214" s="174"/>
      <c r="G214" s="63">
        <f>G215</f>
        <v>138798.2</v>
      </c>
      <c r="H214" s="63">
        <f aca="true" t="shared" si="64" ref="H214:R215">H215</f>
        <v>959.3</v>
      </c>
      <c r="I214" s="63">
        <f t="shared" si="64"/>
        <v>-1533.8074</v>
      </c>
      <c r="J214" s="63">
        <f t="shared" si="64"/>
        <v>0</v>
      </c>
      <c r="K214" s="63">
        <f t="shared" si="64"/>
        <v>-75</v>
      </c>
      <c r="L214" s="63">
        <f t="shared" si="64"/>
        <v>4890</v>
      </c>
      <c r="M214" s="63">
        <f t="shared" si="64"/>
        <v>0</v>
      </c>
      <c r="N214" s="80">
        <f t="shared" si="64"/>
        <v>6340</v>
      </c>
      <c r="O214" s="96">
        <f t="shared" si="64"/>
        <v>-600</v>
      </c>
      <c r="P214" s="96">
        <f>P215</f>
        <v>1264</v>
      </c>
      <c r="Q214" s="96"/>
      <c r="R214" s="97">
        <f t="shared" si="64"/>
        <v>150042.6926</v>
      </c>
      <c r="S214" s="56"/>
    </row>
    <row r="215" spans="1:19" ht="25.5">
      <c r="A215" s="156" t="s">
        <v>230</v>
      </c>
      <c r="B215" s="157" t="s">
        <v>195</v>
      </c>
      <c r="C215" s="157" t="s">
        <v>255</v>
      </c>
      <c r="D215" s="157" t="s">
        <v>190</v>
      </c>
      <c r="E215" s="157" t="s">
        <v>378</v>
      </c>
      <c r="F215" s="157"/>
      <c r="G215" s="57">
        <f>G216</f>
        <v>138798.2</v>
      </c>
      <c r="H215" s="57">
        <f t="shared" si="64"/>
        <v>959.3</v>
      </c>
      <c r="I215" s="57">
        <f t="shared" si="64"/>
        <v>-1533.8074</v>
      </c>
      <c r="J215" s="57">
        <f t="shared" si="64"/>
        <v>0</v>
      </c>
      <c r="K215" s="57">
        <f t="shared" si="64"/>
        <v>-75</v>
      </c>
      <c r="L215" s="57">
        <f t="shared" si="64"/>
        <v>4890</v>
      </c>
      <c r="M215" s="57">
        <f t="shared" si="64"/>
        <v>0</v>
      </c>
      <c r="N215" s="74">
        <f t="shared" si="64"/>
        <v>6340</v>
      </c>
      <c r="O215" s="84">
        <f t="shared" si="64"/>
        <v>-600</v>
      </c>
      <c r="P215" s="84">
        <f>P216</f>
        <v>1264</v>
      </c>
      <c r="Q215" s="84"/>
      <c r="R215" s="85">
        <f>R216</f>
        <v>150042.6926</v>
      </c>
      <c r="S215" s="56"/>
    </row>
    <row r="216" spans="1:19" ht="25.5">
      <c r="A216" s="156" t="s">
        <v>232</v>
      </c>
      <c r="B216" s="157" t="s">
        <v>195</v>
      </c>
      <c r="C216" s="157" t="s">
        <v>255</v>
      </c>
      <c r="D216" s="157" t="s">
        <v>190</v>
      </c>
      <c r="E216" s="157" t="s">
        <v>378</v>
      </c>
      <c r="F216" s="157" t="s">
        <v>233</v>
      </c>
      <c r="G216" s="57">
        <f>129929.7+10000-1131.5</f>
        <v>138798.2</v>
      </c>
      <c r="H216" s="58">
        <f>262.3+35+75+587</f>
        <v>959.3</v>
      </c>
      <c r="I216" s="58">
        <f>-5.2-4073.0574+1419.63+1007.12+117.7</f>
        <v>-1533.8074</v>
      </c>
      <c r="J216" s="58"/>
      <c r="K216" s="58">
        <v>-75</v>
      </c>
      <c r="L216" s="58">
        <f>4590+300</f>
        <v>4890</v>
      </c>
      <c r="M216" s="58"/>
      <c r="N216" s="75">
        <v>6340</v>
      </c>
      <c r="O216" s="86">
        <v>-600</v>
      </c>
      <c r="P216" s="86">
        <v>1264</v>
      </c>
      <c r="Q216" s="86"/>
      <c r="R216" s="87">
        <f>G216+H216+I216+K216+L216+N216+O216+P216</f>
        <v>150042.6926</v>
      </c>
      <c r="S216" s="56"/>
    </row>
    <row r="217" spans="1:19" ht="38.25">
      <c r="A217" s="161" t="s">
        <v>330</v>
      </c>
      <c r="B217" s="157" t="s">
        <v>195</v>
      </c>
      <c r="C217" s="157" t="s">
        <v>255</v>
      </c>
      <c r="D217" s="157" t="s">
        <v>190</v>
      </c>
      <c r="E217" s="157" t="s">
        <v>331</v>
      </c>
      <c r="F217" s="157"/>
      <c r="G217" s="57">
        <f>G218</f>
        <v>0</v>
      </c>
      <c r="H217" s="57">
        <f aca="true" t="shared" si="65" ref="H217:R217">H218</f>
        <v>0</v>
      </c>
      <c r="I217" s="57">
        <f t="shared" si="65"/>
        <v>0</v>
      </c>
      <c r="J217" s="57">
        <f t="shared" si="65"/>
        <v>1042</v>
      </c>
      <c r="K217" s="57">
        <f t="shared" si="65"/>
        <v>0</v>
      </c>
      <c r="L217" s="57">
        <f t="shared" si="65"/>
        <v>0</v>
      </c>
      <c r="M217" s="57">
        <f t="shared" si="65"/>
        <v>0</v>
      </c>
      <c r="N217" s="74"/>
      <c r="O217" s="84"/>
      <c r="P217" s="84"/>
      <c r="Q217" s="84"/>
      <c r="R217" s="85">
        <f t="shared" si="65"/>
        <v>1042</v>
      </c>
      <c r="S217" s="56"/>
    </row>
    <row r="218" spans="1:19" ht="25.5">
      <c r="A218" s="156" t="s">
        <v>232</v>
      </c>
      <c r="B218" s="157" t="s">
        <v>195</v>
      </c>
      <c r="C218" s="157" t="s">
        <v>255</v>
      </c>
      <c r="D218" s="157" t="s">
        <v>190</v>
      </c>
      <c r="E218" s="157" t="s">
        <v>331</v>
      </c>
      <c r="F218" s="157" t="s">
        <v>233</v>
      </c>
      <c r="G218" s="57"/>
      <c r="H218" s="58"/>
      <c r="I218" s="58"/>
      <c r="J218" s="58">
        <v>1042</v>
      </c>
      <c r="K218" s="58"/>
      <c r="L218" s="58"/>
      <c r="M218" s="58"/>
      <c r="N218" s="75"/>
      <c r="O218" s="86"/>
      <c r="P218" s="86"/>
      <c r="Q218" s="86"/>
      <c r="R218" s="87">
        <f>J218</f>
        <v>1042</v>
      </c>
      <c r="S218" s="56"/>
    </row>
    <row r="219" spans="1:19" ht="63.75">
      <c r="A219" s="163" t="s">
        <v>379</v>
      </c>
      <c r="B219" s="157" t="s">
        <v>195</v>
      </c>
      <c r="C219" s="157" t="s">
        <v>255</v>
      </c>
      <c r="D219" s="157" t="s">
        <v>190</v>
      </c>
      <c r="E219" s="157" t="s">
        <v>380</v>
      </c>
      <c r="F219" s="157"/>
      <c r="G219" s="57">
        <f aca="true" t="shared" si="66" ref="G219:R219">G220</f>
        <v>30643</v>
      </c>
      <c r="H219" s="57">
        <f t="shared" si="66"/>
        <v>0</v>
      </c>
      <c r="I219" s="57">
        <f t="shared" si="66"/>
        <v>0</v>
      </c>
      <c r="J219" s="57">
        <f t="shared" si="66"/>
        <v>0</v>
      </c>
      <c r="K219" s="57">
        <f t="shared" si="66"/>
        <v>0</v>
      </c>
      <c r="L219" s="57">
        <f t="shared" si="66"/>
        <v>0</v>
      </c>
      <c r="M219" s="57">
        <f t="shared" si="66"/>
        <v>0</v>
      </c>
      <c r="N219" s="74"/>
      <c r="O219" s="84"/>
      <c r="P219" s="84"/>
      <c r="Q219" s="84"/>
      <c r="R219" s="85">
        <f t="shared" si="66"/>
        <v>30643</v>
      </c>
      <c r="S219" s="56"/>
    </row>
    <row r="220" spans="1:19" ht="25.5">
      <c r="A220" s="156" t="s">
        <v>232</v>
      </c>
      <c r="B220" s="157" t="s">
        <v>195</v>
      </c>
      <c r="C220" s="157" t="s">
        <v>255</v>
      </c>
      <c r="D220" s="157" t="s">
        <v>190</v>
      </c>
      <c r="E220" s="157" t="s">
        <v>380</v>
      </c>
      <c r="F220" s="157" t="s">
        <v>233</v>
      </c>
      <c r="G220" s="57">
        <v>30643</v>
      </c>
      <c r="H220" s="58"/>
      <c r="I220" s="58"/>
      <c r="J220" s="58"/>
      <c r="K220" s="58"/>
      <c r="L220" s="58"/>
      <c r="M220" s="58"/>
      <c r="N220" s="75"/>
      <c r="O220" s="86"/>
      <c r="P220" s="86"/>
      <c r="Q220" s="86"/>
      <c r="R220" s="87">
        <f>G220+H220+I220</f>
        <v>30643</v>
      </c>
      <c r="S220" s="56"/>
    </row>
    <row r="221" spans="1:19" ht="51">
      <c r="A221" s="161" t="s">
        <v>381</v>
      </c>
      <c r="B221" s="157" t="s">
        <v>195</v>
      </c>
      <c r="C221" s="157" t="s">
        <v>255</v>
      </c>
      <c r="D221" s="157" t="s">
        <v>190</v>
      </c>
      <c r="E221" s="157" t="s">
        <v>382</v>
      </c>
      <c r="F221" s="157"/>
      <c r="G221" s="57"/>
      <c r="H221" s="58"/>
      <c r="I221" s="58"/>
      <c r="J221" s="58"/>
      <c r="K221" s="58"/>
      <c r="L221" s="58">
        <f>L222</f>
        <v>1100</v>
      </c>
      <c r="M221" s="58"/>
      <c r="N221" s="75"/>
      <c r="O221" s="86"/>
      <c r="P221" s="86"/>
      <c r="Q221" s="86"/>
      <c r="R221" s="87">
        <f>R222</f>
        <v>1100</v>
      </c>
      <c r="S221" s="56"/>
    </row>
    <row r="222" spans="1:19" ht="25.5">
      <c r="A222" s="156" t="s">
        <v>200</v>
      </c>
      <c r="B222" s="157" t="s">
        <v>195</v>
      </c>
      <c r="C222" s="157" t="s">
        <v>255</v>
      </c>
      <c r="D222" s="157" t="s">
        <v>190</v>
      </c>
      <c r="E222" s="157" t="s">
        <v>382</v>
      </c>
      <c r="F222" s="157" t="s">
        <v>208</v>
      </c>
      <c r="G222" s="57"/>
      <c r="H222" s="58"/>
      <c r="I222" s="58"/>
      <c r="J222" s="58"/>
      <c r="K222" s="58"/>
      <c r="L222" s="58">
        <v>1100</v>
      </c>
      <c r="M222" s="58"/>
      <c r="N222" s="75"/>
      <c r="O222" s="86"/>
      <c r="P222" s="86"/>
      <c r="Q222" s="86"/>
      <c r="R222" s="87">
        <f>L222</f>
        <v>1100</v>
      </c>
      <c r="S222" s="56"/>
    </row>
    <row r="223" spans="1:19" ht="12.75">
      <c r="A223" s="154" t="s">
        <v>383</v>
      </c>
      <c r="B223" s="157"/>
      <c r="C223" s="155" t="s">
        <v>255</v>
      </c>
      <c r="D223" s="155" t="s">
        <v>196</v>
      </c>
      <c r="E223" s="155"/>
      <c r="F223" s="155"/>
      <c r="G223" s="60">
        <f aca="true" t="shared" si="67" ref="G223:R223">G227+G229+G232+G224</f>
        <v>21089.8</v>
      </c>
      <c r="H223" s="60">
        <f t="shared" si="67"/>
        <v>464.5</v>
      </c>
      <c r="I223" s="60">
        <f t="shared" si="67"/>
        <v>1805.2</v>
      </c>
      <c r="J223" s="60">
        <f t="shared" si="67"/>
        <v>0</v>
      </c>
      <c r="K223" s="60">
        <f t="shared" si="67"/>
        <v>64.7</v>
      </c>
      <c r="L223" s="60">
        <f t="shared" si="67"/>
        <v>0</v>
      </c>
      <c r="M223" s="60">
        <f t="shared" si="67"/>
        <v>0</v>
      </c>
      <c r="N223" s="60">
        <f t="shared" si="67"/>
        <v>0</v>
      </c>
      <c r="O223" s="91">
        <f t="shared" si="67"/>
        <v>600</v>
      </c>
      <c r="P223" s="91"/>
      <c r="Q223" s="91"/>
      <c r="R223" s="91">
        <f t="shared" si="67"/>
        <v>24024.2</v>
      </c>
      <c r="S223" s="56"/>
    </row>
    <row r="224" spans="1:19" ht="25.5">
      <c r="A224" s="156" t="s">
        <v>376</v>
      </c>
      <c r="B224" s="157" t="s">
        <v>195</v>
      </c>
      <c r="C224" s="157" t="s">
        <v>255</v>
      </c>
      <c r="D224" s="157" t="s">
        <v>196</v>
      </c>
      <c r="E224" s="157" t="s">
        <v>377</v>
      </c>
      <c r="F224" s="174"/>
      <c r="G224" s="63">
        <f>G225</f>
        <v>15391.7</v>
      </c>
      <c r="H224" s="63">
        <f aca="true" t="shared" si="68" ref="H224:R225">H225</f>
        <v>464.5</v>
      </c>
      <c r="I224" s="63">
        <f t="shared" si="68"/>
        <v>1805.2</v>
      </c>
      <c r="J224" s="63">
        <f t="shared" si="68"/>
        <v>0</v>
      </c>
      <c r="K224" s="63">
        <f t="shared" si="68"/>
        <v>0</v>
      </c>
      <c r="L224" s="63">
        <f t="shared" si="68"/>
        <v>0</v>
      </c>
      <c r="M224" s="63">
        <f t="shared" si="68"/>
        <v>0</v>
      </c>
      <c r="N224" s="63">
        <f t="shared" si="68"/>
        <v>0</v>
      </c>
      <c r="O224" s="97">
        <f t="shared" si="68"/>
        <v>600</v>
      </c>
      <c r="P224" s="97"/>
      <c r="Q224" s="97"/>
      <c r="R224" s="97">
        <f t="shared" si="68"/>
        <v>18261.4</v>
      </c>
      <c r="S224" s="56"/>
    </row>
    <row r="225" spans="1:19" ht="25.5">
      <c r="A225" s="156" t="s">
        <v>230</v>
      </c>
      <c r="B225" s="157" t="s">
        <v>195</v>
      </c>
      <c r="C225" s="157" t="s">
        <v>255</v>
      </c>
      <c r="D225" s="157" t="s">
        <v>196</v>
      </c>
      <c r="E225" s="157" t="s">
        <v>378</v>
      </c>
      <c r="F225" s="157"/>
      <c r="G225" s="57">
        <f>G226</f>
        <v>15391.7</v>
      </c>
      <c r="H225" s="57">
        <f t="shared" si="68"/>
        <v>464.5</v>
      </c>
      <c r="I225" s="57">
        <f t="shared" si="68"/>
        <v>1805.2</v>
      </c>
      <c r="J225" s="57">
        <f t="shared" si="68"/>
        <v>0</v>
      </c>
      <c r="K225" s="57">
        <f t="shared" si="68"/>
        <v>0</v>
      </c>
      <c r="L225" s="57">
        <f t="shared" si="68"/>
        <v>0</v>
      </c>
      <c r="M225" s="57">
        <f t="shared" si="68"/>
        <v>0</v>
      </c>
      <c r="N225" s="57">
        <f t="shared" si="68"/>
        <v>0</v>
      </c>
      <c r="O225" s="85">
        <f t="shared" si="68"/>
        <v>600</v>
      </c>
      <c r="P225" s="85"/>
      <c r="Q225" s="85"/>
      <c r="R225" s="85">
        <f t="shared" si="68"/>
        <v>18261.4</v>
      </c>
      <c r="S225" s="56"/>
    </row>
    <row r="226" spans="1:19" ht="25.5">
      <c r="A226" s="156" t="s">
        <v>232</v>
      </c>
      <c r="B226" s="157" t="s">
        <v>195</v>
      </c>
      <c r="C226" s="157" t="s">
        <v>255</v>
      </c>
      <c r="D226" s="157" t="s">
        <v>196</v>
      </c>
      <c r="E226" s="157" t="s">
        <v>378</v>
      </c>
      <c r="F226" s="157" t="s">
        <v>233</v>
      </c>
      <c r="G226" s="57">
        <v>15391.7</v>
      </c>
      <c r="H226" s="58">
        <v>464.5</v>
      </c>
      <c r="I226" s="58">
        <f>5.2+1800</f>
        <v>1805.2</v>
      </c>
      <c r="J226" s="58"/>
      <c r="K226" s="58"/>
      <c r="L226" s="58"/>
      <c r="M226" s="58"/>
      <c r="N226" s="75"/>
      <c r="O226" s="86">
        <v>600</v>
      </c>
      <c r="P226" s="86"/>
      <c r="Q226" s="86"/>
      <c r="R226" s="87">
        <f>G226+H226+I226+O226</f>
        <v>18261.4</v>
      </c>
      <c r="S226" s="56"/>
    </row>
    <row r="227" spans="1:19" ht="25.5">
      <c r="A227" s="159" t="s">
        <v>384</v>
      </c>
      <c r="B227" s="157" t="s">
        <v>195</v>
      </c>
      <c r="C227" s="157" t="s">
        <v>255</v>
      </c>
      <c r="D227" s="157" t="s">
        <v>196</v>
      </c>
      <c r="E227" s="157" t="s">
        <v>385</v>
      </c>
      <c r="F227" s="157"/>
      <c r="G227" s="57">
        <f aca="true" t="shared" si="69" ref="G227:R227">G228</f>
        <v>3015.7999999999997</v>
      </c>
      <c r="H227" s="57">
        <f t="shared" si="69"/>
        <v>0</v>
      </c>
      <c r="I227" s="57">
        <f t="shared" si="69"/>
        <v>0</v>
      </c>
      <c r="J227" s="57">
        <f t="shared" si="69"/>
        <v>0</v>
      </c>
      <c r="K227" s="57">
        <f t="shared" si="69"/>
        <v>0</v>
      </c>
      <c r="L227" s="57">
        <f t="shared" si="69"/>
        <v>0</v>
      </c>
      <c r="M227" s="57">
        <f t="shared" si="69"/>
        <v>0</v>
      </c>
      <c r="N227" s="74"/>
      <c r="O227" s="84"/>
      <c r="P227" s="84"/>
      <c r="Q227" s="84"/>
      <c r="R227" s="85">
        <f t="shared" si="69"/>
        <v>3015.7999999999997</v>
      </c>
      <c r="S227" s="56"/>
    </row>
    <row r="228" spans="1:19" ht="25.5">
      <c r="A228" s="156" t="s">
        <v>232</v>
      </c>
      <c r="B228" s="157" t="s">
        <v>195</v>
      </c>
      <c r="C228" s="157" t="s">
        <v>255</v>
      </c>
      <c r="D228" s="157" t="s">
        <v>196</v>
      </c>
      <c r="E228" s="157" t="s">
        <v>385</v>
      </c>
      <c r="F228" s="157" t="s">
        <v>233</v>
      </c>
      <c r="G228" s="57">
        <f>3081.1-65.3</f>
        <v>3015.7999999999997</v>
      </c>
      <c r="H228" s="58"/>
      <c r="I228" s="58"/>
      <c r="J228" s="58"/>
      <c r="K228" s="58"/>
      <c r="L228" s="58"/>
      <c r="M228" s="58"/>
      <c r="N228" s="75"/>
      <c r="O228" s="86"/>
      <c r="P228" s="86"/>
      <c r="Q228" s="86"/>
      <c r="R228" s="87">
        <f>G228+H228+I228</f>
        <v>3015.7999999999997</v>
      </c>
      <c r="S228" s="56"/>
    </row>
    <row r="229" spans="1:19" ht="12.75">
      <c r="A229" s="156" t="s">
        <v>386</v>
      </c>
      <c r="B229" s="157" t="s">
        <v>195</v>
      </c>
      <c r="C229" s="157" t="s">
        <v>255</v>
      </c>
      <c r="D229" s="157" t="s">
        <v>196</v>
      </c>
      <c r="E229" s="157" t="s">
        <v>387</v>
      </c>
      <c r="F229" s="157"/>
      <c r="G229" s="57">
        <f>G230</f>
        <v>1128</v>
      </c>
      <c r="H229" s="57">
        <f aca="true" t="shared" si="70" ref="H229:R230">H230</f>
        <v>0</v>
      </c>
      <c r="I229" s="57">
        <f t="shared" si="70"/>
        <v>0</v>
      </c>
      <c r="J229" s="57">
        <f t="shared" si="70"/>
        <v>0</v>
      </c>
      <c r="K229" s="57">
        <f t="shared" si="70"/>
        <v>0</v>
      </c>
      <c r="L229" s="57">
        <f t="shared" si="70"/>
        <v>0</v>
      </c>
      <c r="M229" s="57">
        <f t="shared" si="70"/>
        <v>0</v>
      </c>
      <c r="N229" s="74"/>
      <c r="O229" s="84"/>
      <c r="P229" s="84"/>
      <c r="Q229" s="84"/>
      <c r="R229" s="85">
        <f t="shared" si="70"/>
        <v>1128</v>
      </c>
      <c r="S229" s="56"/>
    </row>
    <row r="230" spans="1:19" ht="25.5">
      <c r="A230" s="156" t="s">
        <v>230</v>
      </c>
      <c r="B230" s="157" t="s">
        <v>195</v>
      </c>
      <c r="C230" s="157" t="s">
        <v>255</v>
      </c>
      <c r="D230" s="157" t="s">
        <v>196</v>
      </c>
      <c r="E230" s="157" t="s">
        <v>388</v>
      </c>
      <c r="F230" s="157"/>
      <c r="G230" s="57">
        <f>G231</f>
        <v>1128</v>
      </c>
      <c r="H230" s="57">
        <f t="shared" si="70"/>
        <v>0</v>
      </c>
      <c r="I230" s="57">
        <f t="shared" si="70"/>
        <v>0</v>
      </c>
      <c r="J230" s="57">
        <f t="shared" si="70"/>
        <v>0</v>
      </c>
      <c r="K230" s="57">
        <f t="shared" si="70"/>
        <v>0</v>
      </c>
      <c r="L230" s="57">
        <f t="shared" si="70"/>
        <v>0</v>
      </c>
      <c r="M230" s="57">
        <f t="shared" si="70"/>
        <v>0</v>
      </c>
      <c r="N230" s="74"/>
      <c r="O230" s="84"/>
      <c r="P230" s="84"/>
      <c r="Q230" s="84"/>
      <c r="R230" s="85">
        <f t="shared" si="70"/>
        <v>1128</v>
      </c>
      <c r="S230" s="56"/>
    </row>
    <row r="231" spans="1:19" ht="25.5">
      <c r="A231" s="156" t="s">
        <v>232</v>
      </c>
      <c r="B231" s="157" t="s">
        <v>195</v>
      </c>
      <c r="C231" s="157" t="s">
        <v>255</v>
      </c>
      <c r="D231" s="157" t="s">
        <v>196</v>
      </c>
      <c r="E231" s="157" t="s">
        <v>388</v>
      </c>
      <c r="F231" s="157" t="s">
        <v>233</v>
      </c>
      <c r="G231" s="57">
        <f>1150.6-22.6</f>
        <v>1128</v>
      </c>
      <c r="H231" s="58"/>
      <c r="I231" s="58"/>
      <c r="J231" s="58"/>
      <c r="K231" s="58"/>
      <c r="L231" s="58"/>
      <c r="M231" s="58"/>
      <c r="N231" s="75"/>
      <c r="O231" s="86"/>
      <c r="P231" s="86"/>
      <c r="Q231" s="86"/>
      <c r="R231" s="87">
        <f>G231+H231+I231</f>
        <v>1128</v>
      </c>
      <c r="S231" s="56"/>
    </row>
    <row r="232" spans="1:19" ht="76.5">
      <c r="A232" s="156" t="s">
        <v>389</v>
      </c>
      <c r="B232" s="157" t="s">
        <v>195</v>
      </c>
      <c r="C232" s="157" t="s">
        <v>255</v>
      </c>
      <c r="D232" s="157" t="s">
        <v>196</v>
      </c>
      <c r="E232" s="157" t="s">
        <v>390</v>
      </c>
      <c r="F232" s="157"/>
      <c r="G232" s="57">
        <f aca="true" t="shared" si="71" ref="G232:R232">G233</f>
        <v>1554.3</v>
      </c>
      <c r="H232" s="57">
        <f t="shared" si="71"/>
        <v>0</v>
      </c>
      <c r="I232" s="57">
        <f t="shared" si="71"/>
        <v>0</v>
      </c>
      <c r="J232" s="57">
        <f t="shared" si="71"/>
        <v>0</v>
      </c>
      <c r="K232" s="57">
        <f t="shared" si="71"/>
        <v>64.7</v>
      </c>
      <c r="L232" s="57">
        <f t="shared" si="71"/>
        <v>0</v>
      </c>
      <c r="M232" s="57">
        <f t="shared" si="71"/>
        <v>0</v>
      </c>
      <c r="N232" s="74"/>
      <c r="O232" s="84"/>
      <c r="P232" s="84"/>
      <c r="Q232" s="84"/>
      <c r="R232" s="85">
        <f t="shared" si="71"/>
        <v>1619</v>
      </c>
      <c r="S232" s="56"/>
    </row>
    <row r="233" spans="1:19" ht="25.5">
      <c r="A233" s="156" t="s">
        <v>232</v>
      </c>
      <c r="B233" s="157" t="s">
        <v>195</v>
      </c>
      <c r="C233" s="157" t="s">
        <v>255</v>
      </c>
      <c r="D233" s="157" t="s">
        <v>196</v>
      </c>
      <c r="E233" s="157" t="s">
        <v>390</v>
      </c>
      <c r="F233" s="157" t="s">
        <v>233</v>
      </c>
      <c r="G233" s="57">
        <v>1554.3</v>
      </c>
      <c r="H233" s="58"/>
      <c r="I233" s="58"/>
      <c r="J233" s="58"/>
      <c r="K233" s="58">
        <v>64.7</v>
      </c>
      <c r="L233" s="58"/>
      <c r="M233" s="58"/>
      <c r="N233" s="75"/>
      <c r="O233" s="86"/>
      <c r="P233" s="86"/>
      <c r="Q233" s="86"/>
      <c r="R233" s="87">
        <f>G233+H233+I233+K233</f>
        <v>1619</v>
      </c>
      <c r="S233" s="56"/>
    </row>
    <row r="234" spans="1:19" ht="25.5">
      <c r="A234" s="154" t="s">
        <v>391</v>
      </c>
      <c r="B234" s="149"/>
      <c r="C234" s="155" t="s">
        <v>255</v>
      </c>
      <c r="D234" s="155" t="s">
        <v>243</v>
      </c>
      <c r="E234" s="149"/>
      <c r="F234" s="149"/>
      <c r="G234" s="54">
        <f>G235</f>
        <v>111</v>
      </c>
      <c r="H234" s="54">
        <f aca="true" t="shared" si="72" ref="H234:R236">H235</f>
        <v>0</v>
      </c>
      <c r="I234" s="54">
        <f t="shared" si="72"/>
        <v>0</v>
      </c>
      <c r="J234" s="54">
        <f t="shared" si="72"/>
        <v>0</v>
      </c>
      <c r="K234" s="54">
        <f t="shared" si="72"/>
        <v>0</v>
      </c>
      <c r="L234" s="54">
        <f t="shared" si="72"/>
        <v>0</v>
      </c>
      <c r="M234" s="54">
        <f t="shared" si="72"/>
        <v>0</v>
      </c>
      <c r="N234" s="73"/>
      <c r="O234" s="82"/>
      <c r="P234" s="82"/>
      <c r="Q234" s="82"/>
      <c r="R234" s="83">
        <f t="shared" si="72"/>
        <v>111</v>
      </c>
      <c r="S234" s="56"/>
    </row>
    <row r="235" spans="1:19" ht="25.5">
      <c r="A235" s="159" t="s">
        <v>376</v>
      </c>
      <c r="B235" s="157" t="s">
        <v>195</v>
      </c>
      <c r="C235" s="157" t="s">
        <v>255</v>
      </c>
      <c r="D235" s="157" t="s">
        <v>243</v>
      </c>
      <c r="E235" s="157" t="s">
        <v>377</v>
      </c>
      <c r="F235" s="157"/>
      <c r="G235" s="57">
        <f>G236</f>
        <v>111</v>
      </c>
      <c r="H235" s="57">
        <f t="shared" si="72"/>
        <v>0</v>
      </c>
      <c r="I235" s="57">
        <f t="shared" si="72"/>
        <v>0</v>
      </c>
      <c r="J235" s="57">
        <f t="shared" si="72"/>
        <v>0</v>
      </c>
      <c r="K235" s="57">
        <f t="shared" si="72"/>
        <v>0</v>
      </c>
      <c r="L235" s="57">
        <f t="shared" si="72"/>
        <v>0</v>
      </c>
      <c r="M235" s="57">
        <f t="shared" si="72"/>
        <v>0</v>
      </c>
      <c r="N235" s="74"/>
      <c r="O235" s="84"/>
      <c r="P235" s="84"/>
      <c r="Q235" s="84"/>
      <c r="R235" s="85">
        <f t="shared" si="72"/>
        <v>111</v>
      </c>
      <c r="S235" s="56"/>
    </row>
    <row r="236" spans="1:19" ht="25.5">
      <c r="A236" s="159" t="s">
        <v>230</v>
      </c>
      <c r="B236" s="157" t="s">
        <v>195</v>
      </c>
      <c r="C236" s="157" t="s">
        <v>255</v>
      </c>
      <c r="D236" s="157" t="s">
        <v>243</v>
      </c>
      <c r="E236" s="157" t="s">
        <v>378</v>
      </c>
      <c r="F236" s="157"/>
      <c r="G236" s="57">
        <f>G237</f>
        <v>111</v>
      </c>
      <c r="H236" s="57">
        <f t="shared" si="72"/>
        <v>0</v>
      </c>
      <c r="I236" s="57">
        <f t="shared" si="72"/>
        <v>0</v>
      </c>
      <c r="J236" s="57">
        <f t="shared" si="72"/>
        <v>0</v>
      </c>
      <c r="K236" s="57">
        <f t="shared" si="72"/>
        <v>0</v>
      </c>
      <c r="L236" s="57">
        <f t="shared" si="72"/>
        <v>0</v>
      </c>
      <c r="M236" s="57">
        <f t="shared" si="72"/>
        <v>0</v>
      </c>
      <c r="N236" s="74"/>
      <c r="O236" s="84"/>
      <c r="P236" s="84"/>
      <c r="Q236" s="84"/>
      <c r="R236" s="85">
        <f t="shared" si="72"/>
        <v>111</v>
      </c>
      <c r="S236" s="56"/>
    </row>
    <row r="237" spans="1:19" ht="25.5">
      <c r="A237" s="159" t="s">
        <v>232</v>
      </c>
      <c r="B237" s="157" t="s">
        <v>195</v>
      </c>
      <c r="C237" s="157" t="s">
        <v>255</v>
      </c>
      <c r="D237" s="157" t="s">
        <v>243</v>
      </c>
      <c r="E237" s="157" t="s">
        <v>378</v>
      </c>
      <c r="F237" s="157" t="s">
        <v>233</v>
      </c>
      <c r="G237" s="57">
        <v>111</v>
      </c>
      <c r="H237" s="58"/>
      <c r="I237" s="58"/>
      <c r="J237" s="58"/>
      <c r="K237" s="58"/>
      <c r="L237" s="58"/>
      <c r="M237" s="58"/>
      <c r="N237" s="75"/>
      <c r="O237" s="86"/>
      <c r="P237" s="86"/>
      <c r="Q237" s="86"/>
      <c r="R237" s="87">
        <f>G237+H237+I237</f>
        <v>111</v>
      </c>
      <c r="S237" s="56"/>
    </row>
    <row r="238" spans="1:19" ht="12.75">
      <c r="A238" s="177" t="s">
        <v>392</v>
      </c>
      <c r="B238" s="155"/>
      <c r="C238" s="155" t="s">
        <v>255</v>
      </c>
      <c r="D238" s="155" t="s">
        <v>203</v>
      </c>
      <c r="E238" s="155"/>
      <c r="F238" s="155"/>
      <c r="G238" s="54">
        <f aca="true" t="shared" si="73" ref="G238:R238">G239+G242</f>
        <v>45483.6</v>
      </c>
      <c r="H238" s="54">
        <f t="shared" si="73"/>
        <v>1440</v>
      </c>
      <c r="I238" s="54">
        <f t="shared" si="73"/>
        <v>-153.6926</v>
      </c>
      <c r="J238" s="54">
        <f t="shared" si="73"/>
        <v>0</v>
      </c>
      <c r="K238" s="54">
        <f t="shared" si="73"/>
        <v>-64.7</v>
      </c>
      <c r="L238" s="54">
        <f t="shared" si="73"/>
        <v>0</v>
      </c>
      <c r="M238" s="54">
        <f t="shared" si="73"/>
        <v>0</v>
      </c>
      <c r="N238" s="73"/>
      <c r="O238" s="82"/>
      <c r="P238" s="82"/>
      <c r="Q238" s="82"/>
      <c r="R238" s="83">
        <f t="shared" si="73"/>
        <v>46705.2074</v>
      </c>
      <c r="S238" s="56"/>
    </row>
    <row r="239" spans="1:19" ht="25.5">
      <c r="A239" s="159" t="s">
        <v>376</v>
      </c>
      <c r="B239" s="157" t="s">
        <v>195</v>
      </c>
      <c r="C239" s="157" t="s">
        <v>255</v>
      </c>
      <c r="D239" s="157" t="s">
        <v>203</v>
      </c>
      <c r="E239" s="157" t="s">
        <v>377</v>
      </c>
      <c r="F239" s="157"/>
      <c r="G239" s="57">
        <f>G240</f>
        <v>39039.9</v>
      </c>
      <c r="H239" s="57">
        <f aca="true" t="shared" si="74" ref="H239:R240">H240</f>
        <v>1440</v>
      </c>
      <c r="I239" s="57">
        <f t="shared" si="74"/>
        <v>-153.6926</v>
      </c>
      <c r="J239" s="57">
        <f t="shared" si="74"/>
        <v>0</v>
      </c>
      <c r="K239" s="57">
        <f t="shared" si="74"/>
        <v>0</v>
      </c>
      <c r="L239" s="57">
        <f t="shared" si="74"/>
        <v>0</v>
      </c>
      <c r="M239" s="57">
        <f t="shared" si="74"/>
        <v>0</v>
      </c>
      <c r="N239" s="74"/>
      <c r="O239" s="84"/>
      <c r="P239" s="84"/>
      <c r="Q239" s="84"/>
      <c r="R239" s="85">
        <f t="shared" si="74"/>
        <v>40326.2074</v>
      </c>
      <c r="S239" s="56"/>
    </row>
    <row r="240" spans="1:19" ht="25.5">
      <c r="A240" s="159" t="s">
        <v>230</v>
      </c>
      <c r="B240" s="157" t="s">
        <v>195</v>
      </c>
      <c r="C240" s="157" t="s">
        <v>255</v>
      </c>
      <c r="D240" s="157" t="s">
        <v>203</v>
      </c>
      <c r="E240" s="157" t="s">
        <v>378</v>
      </c>
      <c r="F240" s="157"/>
      <c r="G240" s="57">
        <f>G241</f>
        <v>39039.9</v>
      </c>
      <c r="H240" s="57">
        <f t="shared" si="74"/>
        <v>1440</v>
      </c>
      <c r="I240" s="57">
        <f t="shared" si="74"/>
        <v>-153.6926</v>
      </c>
      <c r="J240" s="57">
        <f t="shared" si="74"/>
        <v>0</v>
      </c>
      <c r="K240" s="57">
        <f t="shared" si="74"/>
        <v>0</v>
      </c>
      <c r="L240" s="57">
        <f t="shared" si="74"/>
        <v>0</v>
      </c>
      <c r="M240" s="57">
        <f t="shared" si="74"/>
        <v>0</v>
      </c>
      <c r="N240" s="74"/>
      <c r="O240" s="84"/>
      <c r="P240" s="84"/>
      <c r="Q240" s="84"/>
      <c r="R240" s="85">
        <f t="shared" si="74"/>
        <v>40326.2074</v>
      </c>
      <c r="S240" s="56"/>
    </row>
    <row r="241" spans="1:19" ht="25.5">
      <c r="A241" s="159" t="s">
        <v>232</v>
      </c>
      <c r="B241" s="157" t="s">
        <v>195</v>
      </c>
      <c r="C241" s="157" t="s">
        <v>255</v>
      </c>
      <c r="D241" s="157" t="s">
        <v>203</v>
      </c>
      <c r="E241" s="157" t="s">
        <v>378</v>
      </c>
      <c r="F241" s="157" t="s">
        <v>233</v>
      </c>
      <c r="G241" s="57">
        <v>39039.9</v>
      </c>
      <c r="H241" s="58">
        <v>1440</v>
      </c>
      <c r="I241" s="58">
        <v>-153.6926</v>
      </c>
      <c r="J241" s="58"/>
      <c r="K241" s="58"/>
      <c r="L241" s="58"/>
      <c r="M241" s="58"/>
      <c r="N241" s="75"/>
      <c r="O241" s="86"/>
      <c r="P241" s="86"/>
      <c r="Q241" s="86"/>
      <c r="R241" s="87">
        <f>G241+H241+I241</f>
        <v>40326.2074</v>
      </c>
      <c r="S241" s="56"/>
    </row>
    <row r="242" spans="1:19" ht="76.5">
      <c r="A242" s="156" t="s">
        <v>389</v>
      </c>
      <c r="B242" s="157" t="s">
        <v>195</v>
      </c>
      <c r="C242" s="157" t="s">
        <v>255</v>
      </c>
      <c r="D242" s="157" t="s">
        <v>203</v>
      </c>
      <c r="E242" s="157" t="s">
        <v>390</v>
      </c>
      <c r="F242" s="157"/>
      <c r="G242" s="57">
        <f aca="true" t="shared" si="75" ref="G242:R242">G243</f>
        <v>6443.7</v>
      </c>
      <c r="H242" s="57">
        <f t="shared" si="75"/>
        <v>0</v>
      </c>
      <c r="I242" s="57">
        <f t="shared" si="75"/>
        <v>0</v>
      </c>
      <c r="J242" s="57">
        <f t="shared" si="75"/>
        <v>0</v>
      </c>
      <c r="K242" s="57">
        <f t="shared" si="75"/>
        <v>-64.7</v>
      </c>
      <c r="L242" s="57">
        <f t="shared" si="75"/>
        <v>0</v>
      </c>
      <c r="M242" s="57">
        <f t="shared" si="75"/>
        <v>0</v>
      </c>
      <c r="N242" s="74"/>
      <c r="O242" s="84"/>
      <c r="P242" s="84"/>
      <c r="Q242" s="84"/>
      <c r="R242" s="85">
        <f t="shared" si="75"/>
        <v>6379</v>
      </c>
      <c r="S242" s="56"/>
    </row>
    <row r="243" spans="1:19" ht="25.5">
      <c r="A243" s="156" t="s">
        <v>232</v>
      </c>
      <c r="B243" s="157" t="s">
        <v>195</v>
      </c>
      <c r="C243" s="157" t="s">
        <v>255</v>
      </c>
      <c r="D243" s="157" t="s">
        <v>203</v>
      </c>
      <c r="E243" s="157" t="s">
        <v>390</v>
      </c>
      <c r="F243" s="157" t="s">
        <v>233</v>
      </c>
      <c r="G243" s="57">
        <v>6443.7</v>
      </c>
      <c r="H243" s="58"/>
      <c r="I243" s="58"/>
      <c r="J243" s="58"/>
      <c r="K243" s="58">
        <v>-64.7</v>
      </c>
      <c r="L243" s="58"/>
      <c r="M243" s="58"/>
      <c r="N243" s="75"/>
      <c r="O243" s="86"/>
      <c r="P243" s="86"/>
      <c r="Q243" s="86"/>
      <c r="R243" s="87">
        <f>G243+H243+I243+K243</f>
        <v>6379</v>
      </c>
      <c r="S243" s="56"/>
    </row>
    <row r="244" spans="1:19" ht="25.5">
      <c r="A244" s="154" t="s">
        <v>393</v>
      </c>
      <c r="B244" s="157"/>
      <c r="C244" s="155" t="s">
        <v>255</v>
      </c>
      <c r="D244" s="155" t="s">
        <v>255</v>
      </c>
      <c r="E244" s="157"/>
      <c r="F244" s="157"/>
      <c r="G244" s="54">
        <f>G245</f>
        <v>1395</v>
      </c>
      <c r="H244" s="54">
        <f aca="true" t="shared" si="76" ref="H244:R245">H245</f>
        <v>0</v>
      </c>
      <c r="I244" s="54">
        <f t="shared" si="76"/>
        <v>0</v>
      </c>
      <c r="J244" s="54">
        <f t="shared" si="76"/>
        <v>0</v>
      </c>
      <c r="K244" s="54">
        <f t="shared" si="76"/>
        <v>0</v>
      </c>
      <c r="L244" s="54">
        <f t="shared" si="76"/>
        <v>0</v>
      </c>
      <c r="M244" s="54">
        <f t="shared" si="76"/>
        <v>0</v>
      </c>
      <c r="N244" s="73"/>
      <c r="O244" s="82"/>
      <c r="P244" s="82"/>
      <c r="Q244" s="82"/>
      <c r="R244" s="83">
        <f t="shared" si="76"/>
        <v>1395</v>
      </c>
      <c r="S244" s="56"/>
    </row>
    <row r="245" spans="1:19" ht="25.5">
      <c r="A245" s="159" t="s">
        <v>250</v>
      </c>
      <c r="B245" s="157" t="s">
        <v>195</v>
      </c>
      <c r="C245" s="157" t="s">
        <v>255</v>
      </c>
      <c r="D245" s="157" t="s">
        <v>255</v>
      </c>
      <c r="E245" s="157" t="s">
        <v>356</v>
      </c>
      <c r="F245" s="157"/>
      <c r="G245" s="57">
        <f>G246</f>
        <v>1395</v>
      </c>
      <c r="H245" s="57">
        <f t="shared" si="76"/>
        <v>0</v>
      </c>
      <c r="I245" s="57">
        <f t="shared" si="76"/>
        <v>0</v>
      </c>
      <c r="J245" s="57">
        <f t="shared" si="76"/>
        <v>0</v>
      </c>
      <c r="K245" s="57">
        <f t="shared" si="76"/>
        <v>0</v>
      </c>
      <c r="L245" s="57">
        <f t="shared" si="76"/>
        <v>0</v>
      </c>
      <c r="M245" s="57">
        <f t="shared" si="76"/>
        <v>0</v>
      </c>
      <c r="N245" s="74"/>
      <c r="O245" s="84"/>
      <c r="P245" s="84"/>
      <c r="Q245" s="84"/>
      <c r="R245" s="85">
        <f t="shared" si="76"/>
        <v>1395</v>
      </c>
      <c r="S245" s="56"/>
    </row>
    <row r="246" spans="1:19" ht="25.5">
      <c r="A246" s="156" t="s">
        <v>200</v>
      </c>
      <c r="B246" s="157" t="s">
        <v>195</v>
      </c>
      <c r="C246" s="157" t="s">
        <v>255</v>
      </c>
      <c r="D246" s="157" t="s">
        <v>255</v>
      </c>
      <c r="E246" s="157" t="s">
        <v>356</v>
      </c>
      <c r="F246" s="157" t="s">
        <v>208</v>
      </c>
      <c r="G246" s="57">
        <v>1395</v>
      </c>
      <c r="H246" s="58"/>
      <c r="I246" s="58"/>
      <c r="J246" s="58"/>
      <c r="K246" s="58"/>
      <c r="L246" s="58"/>
      <c r="M246" s="58"/>
      <c r="N246" s="75"/>
      <c r="O246" s="86"/>
      <c r="P246" s="86"/>
      <c r="Q246" s="86"/>
      <c r="R246" s="87">
        <f>G246+H246+I246</f>
        <v>1395</v>
      </c>
      <c r="S246" s="56"/>
    </row>
    <row r="247" spans="1:19" ht="12.75">
      <c r="A247" s="154" t="s">
        <v>394</v>
      </c>
      <c r="B247" s="155"/>
      <c r="C247" s="155">
        <v>10</v>
      </c>
      <c r="D247" s="155"/>
      <c r="E247" s="155"/>
      <c r="F247" s="155"/>
      <c r="G247" s="54">
        <f aca="true" t="shared" si="77" ref="G247:R247">G248+G251+G266+G284</f>
        <v>104591.9</v>
      </c>
      <c r="H247" s="54">
        <f t="shared" si="77"/>
        <v>8241</v>
      </c>
      <c r="I247" s="54">
        <f t="shared" si="77"/>
        <v>0</v>
      </c>
      <c r="J247" s="54">
        <f t="shared" si="77"/>
        <v>161.5</v>
      </c>
      <c r="K247" s="54">
        <f t="shared" si="77"/>
        <v>0</v>
      </c>
      <c r="L247" s="54">
        <f t="shared" si="77"/>
        <v>-14411.673999999999</v>
      </c>
      <c r="M247" s="54">
        <f t="shared" si="77"/>
        <v>0</v>
      </c>
      <c r="N247" s="54">
        <f t="shared" si="77"/>
        <v>5324.406</v>
      </c>
      <c r="O247" s="83">
        <f t="shared" si="77"/>
        <v>0</v>
      </c>
      <c r="P247" s="83"/>
      <c r="Q247" s="83"/>
      <c r="R247" s="83">
        <f t="shared" si="77"/>
        <v>104022.132</v>
      </c>
      <c r="S247" s="56"/>
    </row>
    <row r="248" spans="1:19" ht="12.75">
      <c r="A248" s="154" t="s">
        <v>395</v>
      </c>
      <c r="B248" s="155"/>
      <c r="C248" s="155">
        <v>10</v>
      </c>
      <c r="D248" s="155" t="s">
        <v>190</v>
      </c>
      <c r="E248" s="155"/>
      <c r="F248" s="155"/>
      <c r="G248" s="54">
        <f>G249</f>
        <v>282</v>
      </c>
      <c r="H248" s="54">
        <f aca="true" t="shared" si="78" ref="H248:R249">H249</f>
        <v>0</v>
      </c>
      <c r="I248" s="54">
        <f t="shared" si="78"/>
        <v>0</v>
      </c>
      <c r="J248" s="54">
        <f t="shared" si="78"/>
        <v>0</v>
      </c>
      <c r="K248" s="54">
        <f t="shared" si="78"/>
        <v>0</v>
      </c>
      <c r="L248" s="54">
        <f t="shared" si="78"/>
        <v>0</v>
      </c>
      <c r="M248" s="54">
        <f t="shared" si="78"/>
        <v>0</v>
      </c>
      <c r="N248" s="54">
        <f t="shared" si="78"/>
        <v>250</v>
      </c>
      <c r="O248" s="83">
        <f t="shared" si="78"/>
        <v>0</v>
      </c>
      <c r="P248" s="83"/>
      <c r="Q248" s="83"/>
      <c r="R248" s="83">
        <f t="shared" si="78"/>
        <v>532</v>
      </c>
      <c r="S248" s="56"/>
    </row>
    <row r="249" spans="1:19" ht="63.75">
      <c r="A249" s="156" t="s">
        <v>396</v>
      </c>
      <c r="B249" s="157" t="s">
        <v>195</v>
      </c>
      <c r="C249" s="178">
        <v>10</v>
      </c>
      <c r="D249" s="157" t="s">
        <v>190</v>
      </c>
      <c r="E249" s="178" t="s">
        <v>397</v>
      </c>
      <c r="F249" s="157"/>
      <c r="G249" s="57">
        <f>G250</f>
        <v>282</v>
      </c>
      <c r="H249" s="57">
        <f t="shared" si="78"/>
        <v>0</v>
      </c>
      <c r="I249" s="57">
        <f t="shared" si="78"/>
        <v>0</v>
      </c>
      <c r="J249" s="57">
        <f t="shared" si="78"/>
        <v>0</v>
      </c>
      <c r="K249" s="57">
        <f t="shared" si="78"/>
        <v>0</v>
      </c>
      <c r="L249" s="57">
        <f t="shared" si="78"/>
        <v>0</v>
      </c>
      <c r="M249" s="57">
        <f t="shared" si="78"/>
        <v>0</v>
      </c>
      <c r="N249" s="57">
        <f t="shared" si="78"/>
        <v>250</v>
      </c>
      <c r="O249" s="85">
        <f t="shared" si="78"/>
        <v>0</v>
      </c>
      <c r="P249" s="85"/>
      <c r="Q249" s="85"/>
      <c r="R249" s="85">
        <f t="shared" si="78"/>
        <v>532</v>
      </c>
      <c r="S249" s="56"/>
    </row>
    <row r="250" spans="1:19" ht="12.75">
      <c r="A250" s="156" t="s">
        <v>398</v>
      </c>
      <c r="B250" s="157" t="s">
        <v>195</v>
      </c>
      <c r="C250" s="178">
        <v>10</v>
      </c>
      <c r="D250" s="157" t="s">
        <v>190</v>
      </c>
      <c r="E250" s="178" t="s">
        <v>397</v>
      </c>
      <c r="F250" s="157" t="s">
        <v>399</v>
      </c>
      <c r="G250" s="57">
        <v>282</v>
      </c>
      <c r="H250" s="58"/>
      <c r="I250" s="58"/>
      <c r="J250" s="58"/>
      <c r="K250" s="58"/>
      <c r="L250" s="58"/>
      <c r="M250" s="58"/>
      <c r="N250" s="75">
        <v>250</v>
      </c>
      <c r="O250" s="86"/>
      <c r="P250" s="86"/>
      <c r="Q250" s="86"/>
      <c r="R250" s="87">
        <f>G250+H250+I250+N250</f>
        <v>532</v>
      </c>
      <c r="S250" s="56"/>
    </row>
    <row r="251" spans="1:19" ht="12.75">
      <c r="A251" s="159" t="s">
        <v>400</v>
      </c>
      <c r="B251" s="157"/>
      <c r="C251" s="142">
        <v>10</v>
      </c>
      <c r="D251" s="155" t="s">
        <v>243</v>
      </c>
      <c r="E251" s="178"/>
      <c r="F251" s="157"/>
      <c r="G251" s="59">
        <f>G254+G258+G260+G262+G264+G256</f>
        <v>61479</v>
      </c>
      <c r="H251" s="59">
        <f>H254+H258+H260+H262+H264+H256</f>
        <v>0</v>
      </c>
      <c r="I251" s="59">
        <f>I254+I258+I260+I262+I264+I256</f>
        <v>-8580</v>
      </c>
      <c r="J251" s="59">
        <f>J254+J258+J260+J262+J264+J256+J252</f>
        <v>161.5</v>
      </c>
      <c r="K251" s="59">
        <f>K254+K258+K260+K262+K264+K256+K252</f>
        <v>0</v>
      </c>
      <c r="L251" s="59">
        <f>L254+L258+L260+L262+L264+L256+L252</f>
        <v>-9567</v>
      </c>
      <c r="M251" s="59">
        <f>M254+M258+M260+M262+M264+M256+M252</f>
        <v>0</v>
      </c>
      <c r="N251" s="76"/>
      <c r="O251" s="88"/>
      <c r="P251" s="88"/>
      <c r="Q251" s="88"/>
      <c r="R251" s="89">
        <f>R254+R258+R260+R262+R264+R256+R252</f>
        <v>43608.5</v>
      </c>
      <c r="S251" s="56"/>
    </row>
    <row r="252" spans="1:19" ht="25.5">
      <c r="A252" s="161" t="s">
        <v>401</v>
      </c>
      <c r="B252" s="157" t="s">
        <v>195</v>
      </c>
      <c r="C252" s="178">
        <v>10</v>
      </c>
      <c r="D252" s="157" t="s">
        <v>243</v>
      </c>
      <c r="E252" s="178">
        <v>1040200</v>
      </c>
      <c r="F252" s="157"/>
      <c r="G252" s="63"/>
      <c r="H252" s="63"/>
      <c r="I252" s="63"/>
      <c r="J252" s="63">
        <f>J253</f>
        <v>161.5</v>
      </c>
      <c r="K252" s="63">
        <f>K253</f>
        <v>0</v>
      </c>
      <c r="L252" s="63">
        <f>L253</f>
        <v>0</v>
      </c>
      <c r="M252" s="63">
        <f>M253</f>
        <v>0</v>
      </c>
      <c r="N252" s="80"/>
      <c r="O252" s="96"/>
      <c r="P252" s="96"/>
      <c r="Q252" s="96"/>
      <c r="R252" s="97">
        <f>R253</f>
        <v>161.5</v>
      </c>
      <c r="S252" s="56"/>
    </row>
    <row r="253" spans="1:19" ht="12.75">
      <c r="A253" s="175" t="s">
        <v>262</v>
      </c>
      <c r="B253" s="157" t="s">
        <v>195</v>
      </c>
      <c r="C253" s="178">
        <v>10</v>
      </c>
      <c r="D253" s="157" t="s">
        <v>243</v>
      </c>
      <c r="E253" s="178">
        <v>1040200</v>
      </c>
      <c r="F253" s="157" t="s">
        <v>195</v>
      </c>
      <c r="G253" s="63"/>
      <c r="H253" s="63"/>
      <c r="I253" s="63"/>
      <c r="J253" s="63">
        <v>161.5</v>
      </c>
      <c r="K253" s="63"/>
      <c r="L253" s="63"/>
      <c r="M253" s="63"/>
      <c r="N253" s="80"/>
      <c r="O253" s="96"/>
      <c r="P253" s="96"/>
      <c r="Q253" s="96"/>
      <c r="R253" s="97">
        <f>J253</f>
        <v>161.5</v>
      </c>
      <c r="S253" s="56"/>
    </row>
    <row r="254" spans="1:19" ht="38.25">
      <c r="A254" s="179" t="s">
        <v>402</v>
      </c>
      <c r="B254" s="157" t="s">
        <v>195</v>
      </c>
      <c r="C254" s="178">
        <v>10</v>
      </c>
      <c r="D254" s="157" t="s">
        <v>243</v>
      </c>
      <c r="E254" s="178">
        <v>5054800</v>
      </c>
      <c r="F254" s="157"/>
      <c r="G254" s="63">
        <f aca="true" t="shared" si="79" ref="G254:R254">G255</f>
        <v>21262</v>
      </c>
      <c r="H254" s="63">
        <f t="shared" si="79"/>
        <v>0</v>
      </c>
      <c r="I254" s="63">
        <f t="shared" si="79"/>
        <v>0</v>
      </c>
      <c r="J254" s="63">
        <f t="shared" si="79"/>
        <v>0</v>
      </c>
      <c r="K254" s="63">
        <f t="shared" si="79"/>
        <v>0</v>
      </c>
      <c r="L254" s="63">
        <f t="shared" si="79"/>
        <v>-9567</v>
      </c>
      <c r="M254" s="63">
        <f t="shared" si="79"/>
        <v>0</v>
      </c>
      <c r="N254" s="80"/>
      <c r="O254" s="96"/>
      <c r="P254" s="96"/>
      <c r="Q254" s="96"/>
      <c r="R254" s="97">
        <f t="shared" si="79"/>
        <v>11695</v>
      </c>
      <c r="S254" s="56"/>
    </row>
    <row r="255" spans="1:19" ht="12.75">
      <c r="A255" s="156" t="s">
        <v>398</v>
      </c>
      <c r="B255" s="157" t="s">
        <v>195</v>
      </c>
      <c r="C255" s="178">
        <v>10</v>
      </c>
      <c r="D255" s="157" t="s">
        <v>243</v>
      </c>
      <c r="E255" s="178">
        <v>5054800</v>
      </c>
      <c r="F255" s="157" t="s">
        <v>399</v>
      </c>
      <c r="G255" s="63">
        <v>21262</v>
      </c>
      <c r="H255" s="58"/>
      <c r="I255" s="58"/>
      <c r="J255" s="58"/>
      <c r="K255" s="58"/>
      <c r="L255" s="58">
        <v>-9567</v>
      </c>
      <c r="M255" s="58"/>
      <c r="N255" s="75"/>
      <c r="O255" s="86"/>
      <c r="P255" s="86"/>
      <c r="Q255" s="86"/>
      <c r="R255" s="87">
        <f>G255+H255+I255+L255</f>
        <v>11695</v>
      </c>
      <c r="S255" s="56"/>
    </row>
    <row r="256" spans="1:19" ht="51">
      <c r="A256" s="156" t="s">
        <v>403</v>
      </c>
      <c r="B256" s="157" t="s">
        <v>195</v>
      </c>
      <c r="C256" s="178">
        <v>10</v>
      </c>
      <c r="D256" s="157" t="s">
        <v>243</v>
      </c>
      <c r="E256" s="178">
        <v>5053600</v>
      </c>
      <c r="F256" s="157"/>
      <c r="G256" s="63">
        <f aca="true" t="shared" si="80" ref="G256:R256">G257</f>
        <v>8580</v>
      </c>
      <c r="H256" s="63">
        <f t="shared" si="80"/>
        <v>0</v>
      </c>
      <c r="I256" s="63">
        <f t="shared" si="80"/>
        <v>-8580</v>
      </c>
      <c r="J256" s="63">
        <f t="shared" si="80"/>
        <v>0</v>
      </c>
      <c r="K256" s="63">
        <f t="shared" si="80"/>
        <v>0</v>
      </c>
      <c r="L256" s="63">
        <f t="shared" si="80"/>
        <v>0</v>
      </c>
      <c r="M256" s="63">
        <f t="shared" si="80"/>
        <v>0</v>
      </c>
      <c r="N256" s="80"/>
      <c r="O256" s="96"/>
      <c r="P256" s="96"/>
      <c r="Q256" s="96"/>
      <c r="R256" s="97">
        <f t="shared" si="80"/>
        <v>0</v>
      </c>
      <c r="S256" s="56"/>
    </row>
    <row r="257" spans="1:19" ht="12.75">
      <c r="A257" s="156" t="s">
        <v>398</v>
      </c>
      <c r="B257" s="157" t="s">
        <v>195</v>
      </c>
      <c r="C257" s="178">
        <v>10</v>
      </c>
      <c r="D257" s="157" t="s">
        <v>243</v>
      </c>
      <c r="E257" s="178">
        <v>5053600</v>
      </c>
      <c r="F257" s="157" t="s">
        <v>399</v>
      </c>
      <c r="G257" s="63">
        <v>8580</v>
      </c>
      <c r="H257" s="58"/>
      <c r="I257" s="58">
        <v>-8580</v>
      </c>
      <c r="J257" s="58"/>
      <c r="K257" s="58"/>
      <c r="L257" s="58"/>
      <c r="M257" s="58"/>
      <c r="N257" s="75"/>
      <c r="O257" s="86"/>
      <c r="P257" s="86"/>
      <c r="Q257" s="86"/>
      <c r="R257" s="87">
        <f>G257+H257+I257</f>
        <v>0</v>
      </c>
      <c r="S257" s="56"/>
    </row>
    <row r="258" spans="1:19" ht="12.75">
      <c r="A258" s="159" t="s">
        <v>404</v>
      </c>
      <c r="B258" s="157" t="s">
        <v>195</v>
      </c>
      <c r="C258" s="178">
        <v>10</v>
      </c>
      <c r="D258" s="157" t="s">
        <v>243</v>
      </c>
      <c r="E258" s="178">
        <v>5058690</v>
      </c>
      <c r="F258" s="157"/>
      <c r="G258" s="57">
        <f aca="true" t="shared" si="81" ref="G258:R258">G259</f>
        <v>32</v>
      </c>
      <c r="H258" s="57">
        <f t="shared" si="81"/>
        <v>0</v>
      </c>
      <c r="I258" s="57">
        <f t="shared" si="81"/>
        <v>0</v>
      </c>
      <c r="J258" s="57">
        <f t="shared" si="81"/>
        <v>0</v>
      </c>
      <c r="K258" s="57">
        <f t="shared" si="81"/>
        <v>0</v>
      </c>
      <c r="L258" s="57">
        <f t="shared" si="81"/>
        <v>0</v>
      </c>
      <c r="M258" s="57">
        <f t="shared" si="81"/>
        <v>0</v>
      </c>
      <c r="N258" s="74"/>
      <c r="O258" s="84"/>
      <c r="P258" s="84"/>
      <c r="Q258" s="84">
        <f>Q259</f>
        <v>115</v>
      </c>
      <c r="R258" s="85">
        <f t="shared" si="81"/>
        <v>147</v>
      </c>
      <c r="S258" s="56"/>
    </row>
    <row r="259" spans="1:19" ht="12.75">
      <c r="A259" s="156" t="s">
        <v>398</v>
      </c>
      <c r="B259" s="157" t="s">
        <v>195</v>
      </c>
      <c r="C259" s="178">
        <v>10</v>
      </c>
      <c r="D259" s="157" t="s">
        <v>243</v>
      </c>
      <c r="E259" s="178">
        <v>5058690</v>
      </c>
      <c r="F259" s="157" t="s">
        <v>399</v>
      </c>
      <c r="G259" s="57">
        <v>32</v>
      </c>
      <c r="H259" s="58"/>
      <c r="I259" s="58"/>
      <c r="J259" s="58"/>
      <c r="K259" s="58"/>
      <c r="L259" s="58"/>
      <c r="M259" s="58"/>
      <c r="N259" s="75"/>
      <c r="O259" s="86"/>
      <c r="P259" s="86"/>
      <c r="Q259" s="86">
        <v>115</v>
      </c>
      <c r="R259" s="87">
        <f>G259+H259+I259+Q259</f>
        <v>147</v>
      </c>
      <c r="S259" s="56"/>
    </row>
    <row r="260" spans="1:19" ht="63.75">
      <c r="A260" s="156" t="s">
        <v>405</v>
      </c>
      <c r="B260" s="157" t="s">
        <v>195</v>
      </c>
      <c r="C260" s="178">
        <v>10</v>
      </c>
      <c r="D260" s="157" t="s">
        <v>243</v>
      </c>
      <c r="E260" s="178" t="s">
        <v>406</v>
      </c>
      <c r="F260" s="157"/>
      <c r="G260" s="57">
        <f aca="true" t="shared" si="82" ref="G260:R260">G261</f>
        <v>9150</v>
      </c>
      <c r="H260" s="57">
        <f t="shared" si="82"/>
        <v>0</v>
      </c>
      <c r="I260" s="57">
        <f t="shared" si="82"/>
        <v>0</v>
      </c>
      <c r="J260" s="57">
        <f t="shared" si="82"/>
        <v>0</v>
      </c>
      <c r="K260" s="57">
        <f t="shared" si="82"/>
        <v>0</v>
      </c>
      <c r="L260" s="57">
        <f t="shared" si="82"/>
        <v>0</v>
      </c>
      <c r="M260" s="57">
        <f t="shared" si="82"/>
        <v>0</v>
      </c>
      <c r="N260" s="74"/>
      <c r="O260" s="84"/>
      <c r="P260" s="84"/>
      <c r="Q260" s="84"/>
      <c r="R260" s="85">
        <f t="shared" si="82"/>
        <v>9150</v>
      </c>
      <c r="S260" s="56"/>
    </row>
    <row r="261" spans="1:19" ht="25.5">
      <c r="A261" s="156" t="s">
        <v>200</v>
      </c>
      <c r="B261" s="157" t="s">
        <v>195</v>
      </c>
      <c r="C261" s="178">
        <v>10</v>
      </c>
      <c r="D261" s="157" t="s">
        <v>243</v>
      </c>
      <c r="E261" s="178" t="s">
        <v>406</v>
      </c>
      <c r="F261" s="178">
        <v>500</v>
      </c>
      <c r="G261" s="57">
        <v>9150</v>
      </c>
      <c r="H261" s="58"/>
      <c r="I261" s="58"/>
      <c r="J261" s="58"/>
      <c r="K261" s="58"/>
      <c r="L261" s="58"/>
      <c r="M261" s="58"/>
      <c r="N261" s="75"/>
      <c r="O261" s="86"/>
      <c r="P261" s="86"/>
      <c r="Q261" s="86"/>
      <c r="R261" s="87">
        <f>G261+H261+I261</f>
        <v>9150</v>
      </c>
      <c r="S261" s="56"/>
    </row>
    <row r="262" spans="1:19" ht="25.5">
      <c r="A262" s="156" t="s">
        <v>407</v>
      </c>
      <c r="B262" s="157" t="s">
        <v>195</v>
      </c>
      <c r="C262" s="178">
        <v>10</v>
      </c>
      <c r="D262" s="157" t="s">
        <v>243</v>
      </c>
      <c r="E262" s="178" t="s">
        <v>408</v>
      </c>
      <c r="F262" s="157"/>
      <c r="G262" s="57">
        <f aca="true" t="shared" si="83" ref="G262:R262">G263</f>
        <v>17776</v>
      </c>
      <c r="H262" s="57">
        <f t="shared" si="83"/>
        <v>0</v>
      </c>
      <c r="I262" s="57">
        <f t="shared" si="83"/>
        <v>0</v>
      </c>
      <c r="J262" s="57">
        <f t="shared" si="83"/>
        <v>0</v>
      </c>
      <c r="K262" s="57">
        <f t="shared" si="83"/>
        <v>0</v>
      </c>
      <c r="L262" s="57">
        <f t="shared" si="83"/>
        <v>0</v>
      </c>
      <c r="M262" s="57">
        <f t="shared" si="83"/>
        <v>0</v>
      </c>
      <c r="N262" s="74"/>
      <c r="O262" s="84"/>
      <c r="P262" s="84"/>
      <c r="Q262" s="84"/>
      <c r="R262" s="85">
        <f t="shared" si="83"/>
        <v>17776</v>
      </c>
      <c r="S262" s="56"/>
    </row>
    <row r="263" spans="1:19" ht="25.5">
      <c r="A263" s="156" t="s">
        <v>200</v>
      </c>
      <c r="B263" s="157" t="s">
        <v>195</v>
      </c>
      <c r="C263" s="178">
        <v>10</v>
      </c>
      <c r="D263" s="157" t="s">
        <v>243</v>
      </c>
      <c r="E263" s="178" t="s">
        <v>408</v>
      </c>
      <c r="F263" s="178">
        <v>500</v>
      </c>
      <c r="G263" s="57">
        <v>17776</v>
      </c>
      <c r="H263" s="58"/>
      <c r="I263" s="58"/>
      <c r="J263" s="58"/>
      <c r="K263" s="58"/>
      <c r="L263" s="58"/>
      <c r="M263" s="58"/>
      <c r="N263" s="75"/>
      <c r="O263" s="86"/>
      <c r="P263" s="86"/>
      <c r="Q263" s="86"/>
      <c r="R263" s="87">
        <f>G263+H263+I263</f>
        <v>17776</v>
      </c>
      <c r="S263" s="56"/>
    </row>
    <row r="264" spans="1:19" ht="63.75">
      <c r="A264" s="156" t="s">
        <v>409</v>
      </c>
      <c r="B264" s="157" t="s">
        <v>195</v>
      </c>
      <c r="C264" s="178">
        <v>10</v>
      </c>
      <c r="D264" s="157" t="s">
        <v>243</v>
      </c>
      <c r="E264" s="178" t="s">
        <v>410</v>
      </c>
      <c r="F264" s="157"/>
      <c r="G264" s="57">
        <f aca="true" t="shared" si="84" ref="G264:R264">G265</f>
        <v>4679</v>
      </c>
      <c r="H264" s="57">
        <f t="shared" si="84"/>
        <v>0</v>
      </c>
      <c r="I264" s="57">
        <f t="shared" si="84"/>
        <v>0</v>
      </c>
      <c r="J264" s="57">
        <f t="shared" si="84"/>
        <v>0</v>
      </c>
      <c r="K264" s="57">
        <f t="shared" si="84"/>
        <v>0</v>
      </c>
      <c r="L264" s="57">
        <f t="shared" si="84"/>
        <v>0</v>
      </c>
      <c r="M264" s="57">
        <f t="shared" si="84"/>
        <v>0</v>
      </c>
      <c r="N264" s="74"/>
      <c r="O264" s="84"/>
      <c r="P264" s="84"/>
      <c r="Q264" s="84"/>
      <c r="R264" s="85">
        <f t="shared" si="84"/>
        <v>4679</v>
      </c>
      <c r="S264" s="56"/>
    </row>
    <row r="265" spans="1:19" ht="25.5">
      <c r="A265" s="156" t="s">
        <v>200</v>
      </c>
      <c r="B265" s="157" t="s">
        <v>195</v>
      </c>
      <c r="C265" s="178">
        <v>10</v>
      </c>
      <c r="D265" s="157" t="s">
        <v>243</v>
      </c>
      <c r="E265" s="178" t="s">
        <v>410</v>
      </c>
      <c r="F265" s="157" t="s">
        <v>208</v>
      </c>
      <c r="G265" s="57">
        <v>4679</v>
      </c>
      <c r="H265" s="58"/>
      <c r="I265" s="58"/>
      <c r="J265" s="58"/>
      <c r="K265" s="58"/>
      <c r="L265" s="58"/>
      <c r="M265" s="58"/>
      <c r="N265" s="75"/>
      <c r="O265" s="86"/>
      <c r="P265" s="86"/>
      <c r="Q265" s="86"/>
      <c r="R265" s="87">
        <f>G265+H265+I265</f>
        <v>4679</v>
      </c>
      <c r="S265" s="56"/>
    </row>
    <row r="266" spans="1:19" ht="12.75">
      <c r="A266" s="154" t="s">
        <v>411</v>
      </c>
      <c r="B266" s="155"/>
      <c r="C266" s="155">
        <v>10</v>
      </c>
      <c r="D266" s="155" t="s">
        <v>203</v>
      </c>
      <c r="E266" s="155"/>
      <c r="F266" s="155"/>
      <c r="G266" s="54">
        <f aca="true" t="shared" si="85" ref="G266:R266">G268+G272+G277+G270</f>
        <v>41501</v>
      </c>
      <c r="H266" s="54">
        <f t="shared" si="85"/>
        <v>8241</v>
      </c>
      <c r="I266" s="54">
        <f t="shared" si="85"/>
        <v>8580</v>
      </c>
      <c r="J266" s="54">
        <f t="shared" si="85"/>
        <v>0</v>
      </c>
      <c r="K266" s="54">
        <f t="shared" si="85"/>
        <v>0</v>
      </c>
      <c r="L266" s="54">
        <f t="shared" si="85"/>
        <v>-4844.674</v>
      </c>
      <c r="M266" s="54">
        <f t="shared" si="85"/>
        <v>0</v>
      </c>
      <c r="N266" s="54">
        <f t="shared" si="85"/>
        <v>5074.406</v>
      </c>
      <c r="O266" s="83">
        <f t="shared" si="85"/>
        <v>0</v>
      </c>
      <c r="P266" s="83"/>
      <c r="Q266" s="83"/>
      <c r="R266" s="83">
        <f t="shared" si="85"/>
        <v>58551.732</v>
      </c>
      <c r="S266" s="56"/>
    </row>
    <row r="267" spans="1:19" ht="12.75">
      <c r="A267" s="156" t="s">
        <v>412</v>
      </c>
      <c r="B267" s="157" t="s">
        <v>195</v>
      </c>
      <c r="C267" s="157">
        <v>10</v>
      </c>
      <c r="D267" s="157" t="s">
        <v>203</v>
      </c>
      <c r="E267" s="157" t="s">
        <v>413</v>
      </c>
      <c r="F267" s="157"/>
      <c r="G267" s="57">
        <f>G268</f>
        <v>810</v>
      </c>
      <c r="H267" s="57">
        <f aca="true" t="shared" si="86" ref="H267:R268">H268</f>
        <v>0</v>
      </c>
      <c r="I267" s="57">
        <f t="shared" si="86"/>
        <v>0</v>
      </c>
      <c r="J267" s="57">
        <f t="shared" si="86"/>
        <v>0</v>
      </c>
      <c r="K267" s="57">
        <f t="shared" si="86"/>
        <v>0</v>
      </c>
      <c r="L267" s="57">
        <f t="shared" si="86"/>
        <v>0</v>
      </c>
      <c r="M267" s="57">
        <f t="shared" si="86"/>
        <v>0</v>
      </c>
      <c r="N267" s="74"/>
      <c r="O267" s="84"/>
      <c r="P267" s="84"/>
      <c r="Q267" s="84"/>
      <c r="R267" s="85">
        <f t="shared" si="86"/>
        <v>810</v>
      </c>
      <c r="S267" s="56"/>
    </row>
    <row r="268" spans="1:19" ht="51">
      <c r="A268" s="156" t="s">
        <v>414</v>
      </c>
      <c r="B268" s="157" t="s">
        <v>195</v>
      </c>
      <c r="C268" s="157">
        <v>10</v>
      </c>
      <c r="D268" s="157" t="s">
        <v>203</v>
      </c>
      <c r="E268" s="157" t="s">
        <v>415</v>
      </c>
      <c r="F268" s="157"/>
      <c r="G268" s="57">
        <f>G269</f>
        <v>810</v>
      </c>
      <c r="H268" s="57">
        <f t="shared" si="86"/>
        <v>0</v>
      </c>
      <c r="I268" s="57">
        <f t="shared" si="86"/>
        <v>0</v>
      </c>
      <c r="J268" s="57">
        <f t="shared" si="86"/>
        <v>0</v>
      </c>
      <c r="K268" s="57">
        <f t="shared" si="86"/>
        <v>0</v>
      </c>
      <c r="L268" s="57">
        <f t="shared" si="86"/>
        <v>0</v>
      </c>
      <c r="M268" s="57">
        <f t="shared" si="86"/>
        <v>0</v>
      </c>
      <c r="N268" s="74"/>
      <c r="O268" s="84"/>
      <c r="P268" s="84"/>
      <c r="Q268" s="84"/>
      <c r="R268" s="85">
        <f t="shared" si="86"/>
        <v>810</v>
      </c>
      <c r="S268" s="56"/>
    </row>
    <row r="269" spans="1:19" ht="12.75">
      <c r="A269" s="156" t="s">
        <v>398</v>
      </c>
      <c r="B269" s="157" t="s">
        <v>195</v>
      </c>
      <c r="C269" s="157">
        <v>10</v>
      </c>
      <c r="D269" s="157" t="s">
        <v>203</v>
      </c>
      <c r="E269" s="157" t="s">
        <v>415</v>
      </c>
      <c r="F269" s="157" t="s">
        <v>399</v>
      </c>
      <c r="G269" s="57">
        <v>810</v>
      </c>
      <c r="H269" s="58"/>
      <c r="I269" s="58"/>
      <c r="J269" s="58"/>
      <c r="K269" s="58"/>
      <c r="L269" s="58"/>
      <c r="M269" s="58"/>
      <c r="N269" s="75"/>
      <c r="O269" s="86"/>
      <c r="P269" s="86"/>
      <c r="Q269" s="86"/>
      <c r="R269" s="87">
        <f>G269+H269+I269</f>
        <v>810</v>
      </c>
      <c r="S269" s="56"/>
    </row>
    <row r="270" spans="1:19" ht="51">
      <c r="A270" s="156" t="s">
        <v>403</v>
      </c>
      <c r="B270" s="157" t="s">
        <v>195</v>
      </c>
      <c r="C270" s="178">
        <v>10</v>
      </c>
      <c r="D270" s="157" t="s">
        <v>203</v>
      </c>
      <c r="E270" s="178">
        <v>5053600</v>
      </c>
      <c r="F270" s="157"/>
      <c r="G270" s="63">
        <f aca="true" t="shared" si="87" ref="G270:R270">G271</f>
        <v>0</v>
      </c>
      <c r="H270" s="63">
        <f t="shared" si="87"/>
        <v>8241</v>
      </c>
      <c r="I270" s="63">
        <f t="shared" si="87"/>
        <v>8580</v>
      </c>
      <c r="J270" s="63">
        <f t="shared" si="87"/>
        <v>0</v>
      </c>
      <c r="K270" s="63">
        <f t="shared" si="87"/>
        <v>0</v>
      </c>
      <c r="L270" s="63">
        <f t="shared" si="87"/>
        <v>-4844.674</v>
      </c>
      <c r="M270" s="63">
        <f t="shared" si="87"/>
        <v>0</v>
      </c>
      <c r="N270" s="63">
        <f t="shared" si="87"/>
        <v>5074.406</v>
      </c>
      <c r="O270" s="97">
        <f t="shared" si="87"/>
        <v>0</v>
      </c>
      <c r="P270" s="97"/>
      <c r="Q270" s="97"/>
      <c r="R270" s="97">
        <f t="shared" si="87"/>
        <v>17050.732</v>
      </c>
      <c r="S270" s="56"/>
    </row>
    <row r="271" spans="1:19" ht="12.75">
      <c r="A271" s="156" t="s">
        <v>398</v>
      </c>
      <c r="B271" s="157" t="s">
        <v>195</v>
      </c>
      <c r="C271" s="178">
        <v>10</v>
      </c>
      <c r="D271" s="157" t="s">
        <v>203</v>
      </c>
      <c r="E271" s="178">
        <v>5053600</v>
      </c>
      <c r="F271" s="157" t="s">
        <v>399</v>
      </c>
      <c r="G271" s="63"/>
      <c r="H271" s="58">
        <v>8241</v>
      </c>
      <c r="I271" s="58">
        <v>8580</v>
      </c>
      <c r="J271" s="58"/>
      <c r="K271" s="58"/>
      <c r="L271" s="58">
        <v>-4844.674</v>
      </c>
      <c r="M271" s="58"/>
      <c r="N271" s="75">
        <v>5074.406</v>
      </c>
      <c r="O271" s="86"/>
      <c r="P271" s="86"/>
      <c r="Q271" s="86"/>
      <c r="R271" s="87">
        <f>G271+H271+I271+L271+N271</f>
        <v>17050.732</v>
      </c>
      <c r="S271" s="56"/>
    </row>
    <row r="272" spans="1:19" ht="25.5">
      <c r="A272" s="156" t="s">
        <v>416</v>
      </c>
      <c r="B272" s="157" t="s">
        <v>195</v>
      </c>
      <c r="C272" s="157">
        <v>10</v>
      </c>
      <c r="D272" s="157" t="s">
        <v>203</v>
      </c>
      <c r="E272" s="157" t="s">
        <v>417</v>
      </c>
      <c r="F272" s="157"/>
      <c r="G272" s="61">
        <f aca="true" t="shared" si="88" ref="G272:R272">G273+G275</f>
        <v>37586</v>
      </c>
      <c r="H272" s="61">
        <f t="shared" si="88"/>
        <v>0</v>
      </c>
      <c r="I272" s="61">
        <f t="shared" si="88"/>
        <v>0</v>
      </c>
      <c r="J272" s="61">
        <f t="shared" si="88"/>
        <v>0</v>
      </c>
      <c r="K272" s="61">
        <f t="shared" si="88"/>
        <v>0</v>
      </c>
      <c r="L272" s="61">
        <f t="shared" si="88"/>
        <v>0</v>
      </c>
      <c r="M272" s="61">
        <f t="shared" si="88"/>
        <v>0</v>
      </c>
      <c r="N272" s="78"/>
      <c r="O272" s="92"/>
      <c r="P272" s="92"/>
      <c r="Q272" s="92"/>
      <c r="R272" s="93">
        <f t="shared" si="88"/>
        <v>37586</v>
      </c>
      <c r="S272" s="56"/>
    </row>
    <row r="273" spans="1:19" ht="89.25">
      <c r="A273" s="156" t="s">
        <v>418</v>
      </c>
      <c r="B273" s="157" t="s">
        <v>195</v>
      </c>
      <c r="C273" s="157">
        <v>10</v>
      </c>
      <c r="D273" s="157" t="s">
        <v>203</v>
      </c>
      <c r="E273" s="157" t="s">
        <v>419</v>
      </c>
      <c r="F273" s="157"/>
      <c r="G273" s="57">
        <f aca="true" t="shared" si="89" ref="G273:R273">G274</f>
        <v>12034</v>
      </c>
      <c r="H273" s="57">
        <f t="shared" si="89"/>
        <v>0</v>
      </c>
      <c r="I273" s="57">
        <f t="shared" si="89"/>
        <v>0</v>
      </c>
      <c r="J273" s="57">
        <f t="shared" si="89"/>
        <v>0</v>
      </c>
      <c r="K273" s="57">
        <f t="shared" si="89"/>
        <v>0</v>
      </c>
      <c r="L273" s="57">
        <f t="shared" si="89"/>
        <v>0</v>
      </c>
      <c r="M273" s="57">
        <f t="shared" si="89"/>
        <v>0</v>
      </c>
      <c r="N273" s="74"/>
      <c r="O273" s="84"/>
      <c r="P273" s="84"/>
      <c r="Q273" s="84"/>
      <c r="R273" s="85">
        <f t="shared" si="89"/>
        <v>12034</v>
      </c>
      <c r="S273" s="56"/>
    </row>
    <row r="274" spans="1:19" ht="12.75">
      <c r="A274" s="156" t="s">
        <v>398</v>
      </c>
      <c r="B274" s="157" t="s">
        <v>195</v>
      </c>
      <c r="C274" s="157">
        <v>10</v>
      </c>
      <c r="D274" s="157" t="s">
        <v>203</v>
      </c>
      <c r="E274" s="157" t="s">
        <v>419</v>
      </c>
      <c r="F274" s="157" t="s">
        <v>399</v>
      </c>
      <c r="G274" s="57">
        <v>12034</v>
      </c>
      <c r="H274" s="58"/>
      <c r="I274" s="58"/>
      <c r="J274" s="58"/>
      <c r="K274" s="58"/>
      <c r="L274" s="58"/>
      <c r="M274" s="58"/>
      <c r="N274" s="75"/>
      <c r="O274" s="86"/>
      <c r="P274" s="86"/>
      <c r="Q274" s="86"/>
      <c r="R274" s="87">
        <f>G274+H274+I274</f>
        <v>12034</v>
      </c>
      <c r="S274" s="56"/>
    </row>
    <row r="275" spans="1:19" ht="25.5">
      <c r="A275" s="156" t="s">
        <v>420</v>
      </c>
      <c r="B275" s="157" t="s">
        <v>195</v>
      </c>
      <c r="C275" s="157">
        <v>10</v>
      </c>
      <c r="D275" s="157" t="s">
        <v>203</v>
      </c>
      <c r="E275" s="157" t="s">
        <v>421</v>
      </c>
      <c r="F275" s="157"/>
      <c r="G275" s="57">
        <f aca="true" t="shared" si="90" ref="G275:R275">G276</f>
        <v>25552</v>
      </c>
      <c r="H275" s="57">
        <f t="shared" si="90"/>
        <v>0</v>
      </c>
      <c r="I275" s="57">
        <f t="shared" si="90"/>
        <v>0</v>
      </c>
      <c r="J275" s="57">
        <f t="shared" si="90"/>
        <v>0</v>
      </c>
      <c r="K275" s="57">
        <f t="shared" si="90"/>
        <v>0</v>
      </c>
      <c r="L275" s="57">
        <f t="shared" si="90"/>
        <v>0</v>
      </c>
      <c r="M275" s="57">
        <f t="shared" si="90"/>
        <v>0</v>
      </c>
      <c r="N275" s="74"/>
      <c r="O275" s="84"/>
      <c r="P275" s="84"/>
      <c r="Q275" s="84"/>
      <c r="R275" s="85">
        <f t="shared" si="90"/>
        <v>25552</v>
      </c>
      <c r="S275" s="56"/>
    </row>
    <row r="276" spans="1:19" ht="12.75">
      <c r="A276" s="156" t="s">
        <v>398</v>
      </c>
      <c r="B276" s="157" t="s">
        <v>195</v>
      </c>
      <c r="C276" s="157">
        <v>10</v>
      </c>
      <c r="D276" s="157" t="s">
        <v>203</v>
      </c>
      <c r="E276" s="157" t="s">
        <v>421</v>
      </c>
      <c r="F276" s="157" t="s">
        <v>399</v>
      </c>
      <c r="G276" s="57">
        <v>25552</v>
      </c>
      <c r="H276" s="58"/>
      <c r="I276" s="58"/>
      <c r="J276" s="58"/>
      <c r="K276" s="58"/>
      <c r="L276" s="58"/>
      <c r="M276" s="58"/>
      <c r="N276" s="75"/>
      <c r="O276" s="86"/>
      <c r="P276" s="86"/>
      <c r="Q276" s="86"/>
      <c r="R276" s="87">
        <f>G276+H276+I276</f>
        <v>25552</v>
      </c>
      <c r="S276" s="56"/>
    </row>
    <row r="277" spans="1:19" ht="25.5">
      <c r="A277" s="180" t="s">
        <v>416</v>
      </c>
      <c r="B277" s="157" t="s">
        <v>195</v>
      </c>
      <c r="C277" s="178">
        <v>10</v>
      </c>
      <c r="D277" s="157" t="s">
        <v>203</v>
      </c>
      <c r="E277" s="178" t="s">
        <v>422</v>
      </c>
      <c r="F277" s="157"/>
      <c r="G277" s="57">
        <f aca="true" t="shared" si="91" ref="G277:R277">G278+G280+G282</f>
        <v>3105</v>
      </c>
      <c r="H277" s="57">
        <f t="shared" si="91"/>
        <v>0</v>
      </c>
      <c r="I277" s="57">
        <f t="shared" si="91"/>
        <v>0</v>
      </c>
      <c r="J277" s="57">
        <f t="shared" si="91"/>
        <v>0</v>
      </c>
      <c r="K277" s="57">
        <f t="shared" si="91"/>
        <v>0</v>
      </c>
      <c r="L277" s="57">
        <f t="shared" si="91"/>
        <v>0</v>
      </c>
      <c r="M277" s="57">
        <f t="shared" si="91"/>
        <v>0</v>
      </c>
      <c r="N277" s="74"/>
      <c r="O277" s="84"/>
      <c r="P277" s="84"/>
      <c r="Q277" s="84"/>
      <c r="R277" s="85">
        <f t="shared" si="91"/>
        <v>3105</v>
      </c>
      <c r="S277" s="56"/>
    </row>
    <row r="278" spans="1:19" ht="63.75">
      <c r="A278" s="156" t="s">
        <v>423</v>
      </c>
      <c r="B278" s="157" t="s">
        <v>195</v>
      </c>
      <c r="C278" s="178">
        <v>10</v>
      </c>
      <c r="D278" s="157" t="s">
        <v>203</v>
      </c>
      <c r="E278" s="178" t="s">
        <v>424</v>
      </c>
      <c r="F278" s="157"/>
      <c r="G278" s="57">
        <f aca="true" t="shared" si="92" ref="G278:R278">G279</f>
        <v>651</v>
      </c>
      <c r="H278" s="57">
        <f t="shared" si="92"/>
        <v>0</v>
      </c>
      <c r="I278" s="57">
        <f t="shared" si="92"/>
        <v>0</v>
      </c>
      <c r="J278" s="57">
        <f t="shared" si="92"/>
        <v>0</v>
      </c>
      <c r="K278" s="57">
        <f t="shared" si="92"/>
        <v>0</v>
      </c>
      <c r="L278" s="57">
        <f t="shared" si="92"/>
        <v>0</v>
      </c>
      <c r="M278" s="57">
        <f t="shared" si="92"/>
        <v>0</v>
      </c>
      <c r="N278" s="74"/>
      <c r="O278" s="84"/>
      <c r="P278" s="84"/>
      <c r="Q278" s="84"/>
      <c r="R278" s="85">
        <f t="shared" si="92"/>
        <v>651</v>
      </c>
      <c r="S278" s="56"/>
    </row>
    <row r="279" spans="1:19" ht="25.5">
      <c r="A279" s="156" t="s">
        <v>200</v>
      </c>
      <c r="B279" s="157" t="s">
        <v>195</v>
      </c>
      <c r="C279" s="178">
        <v>10</v>
      </c>
      <c r="D279" s="157" t="s">
        <v>203</v>
      </c>
      <c r="E279" s="178" t="s">
        <v>424</v>
      </c>
      <c r="F279" s="157" t="s">
        <v>208</v>
      </c>
      <c r="G279" s="57">
        <v>651</v>
      </c>
      <c r="H279" s="58"/>
      <c r="I279" s="58"/>
      <c r="J279" s="58"/>
      <c r="K279" s="58"/>
      <c r="L279" s="58"/>
      <c r="M279" s="58"/>
      <c r="N279" s="75"/>
      <c r="O279" s="86"/>
      <c r="P279" s="86"/>
      <c r="Q279" s="86"/>
      <c r="R279" s="87">
        <f>G279+H279+I279</f>
        <v>651</v>
      </c>
      <c r="S279" s="56"/>
    </row>
    <row r="280" spans="1:19" ht="51">
      <c r="A280" s="156" t="s">
        <v>425</v>
      </c>
      <c r="B280" s="157" t="s">
        <v>195</v>
      </c>
      <c r="C280" s="178">
        <v>10</v>
      </c>
      <c r="D280" s="157" t="s">
        <v>203</v>
      </c>
      <c r="E280" s="178" t="s">
        <v>426</v>
      </c>
      <c r="F280" s="157"/>
      <c r="G280" s="57">
        <f aca="true" t="shared" si="93" ref="G280:R280">G281</f>
        <v>1248</v>
      </c>
      <c r="H280" s="57">
        <f t="shared" si="93"/>
        <v>0</v>
      </c>
      <c r="I280" s="57">
        <f t="shared" si="93"/>
        <v>0</v>
      </c>
      <c r="J280" s="57">
        <f t="shared" si="93"/>
        <v>0</v>
      </c>
      <c r="K280" s="57">
        <f t="shared" si="93"/>
        <v>0</v>
      </c>
      <c r="L280" s="57">
        <f t="shared" si="93"/>
        <v>0</v>
      </c>
      <c r="M280" s="57">
        <f t="shared" si="93"/>
        <v>0</v>
      </c>
      <c r="N280" s="74"/>
      <c r="O280" s="84"/>
      <c r="P280" s="84"/>
      <c r="Q280" s="84"/>
      <c r="R280" s="85">
        <f t="shared" si="93"/>
        <v>1248</v>
      </c>
      <c r="S280" s="56"/>
    </row>
    <row r="281" spans="1:19" ht="25.5">
      <c r="A281" s="156" t="s">
        <v>200</v>
      </c>
      <c r="B281" s="157" t="s">
        <v>195</v>
      </c>
      <c r="C281" s="178">
        <v>10</v>
      </c>
      <c r="D281" s="157" t="s">
        <v>203</v>
      </c>
      <c r="E281" s="178" t="s">
        <v>426</v>
      </c>
      <c r="F281" s="157" t="s">
        <v>208</v>
      </c>
      <c r="G281" s="57">
        <v>1248</v>
      </c>
      <c r="H281" s="58"/>
      <c r="I281" s="58"/>
      <c r="J281" s="58"/>
      <c r="K281" s="58"/>
      <c r="L281" s="58"/>
      <c r="M281" s="58"/>
      <c r="N281" s="75"/>
      <c r="O281" s="86"/>
      <c r="P281" s="86"/>
      <c r="Q281" s="86"/>
      <c r="R281" s="87">
        <f>G281+H281+I281</f>
        <v>1248</v>
      </c>
      <c r="S281" s="56"/>
    </row>
    <row r="282" spans="1:19" ht="25.5">
      <c r="A282" s="156" t="s">
        <v>427</v>
      </c>
      <c r="B282" s="157" t="s">
        <v>195</v>
      </c>
      <c r="C282" s="178">
        <v>10</v>
      </c>
      <c r="D282" s="157" t="s">
        <v>203</v>
      </c>
      <c r="E282" s="178">
        <v>5210236</v>
      </c>
      <c r="F282" s="157"/>
      <c r="G282" s="57">
        <f aca="true" t="shared" si="94" ref="G282:R282">G283</f>
        <v>1206</v>
      </c>
      <c r="H282" s="57">
        <f t="shared" si="94"/>
        <v>0</v>
      </c>
      <c r="I282" s="57">
        <f t="shared" si="94"/>
        <v>0</v>
      </c>
      <c r="J282" s="57">
        <f t="shared" si="94"/>
        <v>0</v>
      </c>
      <c r="K282" s="57">
        <f t="shared" si="94"/>
        <v>0</v>
      </c>
      <c r="L282" s="57">
        <f t="shared" si="94"/>
        <v>0</v>
      </c>
      <c r="M282" s="57">
        <f t="shared" si="94"/>
        <v>0</v>
      </c>
      <c r="N282" s="74"/>
      <c r="O282" s="84"/>
      <c r="P282" s="84"/>
      <c r="Q282" s="84"/>
      <c r="R282" s="85">
        <f t="shared" si="94"/>
        <v>1206</v>
      </c>
      <c r="S282" s="56"/>
    </row>
    <row r="283" spans="1:19" ht="25.5">
      <c r="A283" s="156" t="s">
        <v>200</v>
      </c>
      <c r="B283" s="157" t="s">
        <v>195</v>
      </c>
      <c r="C283" s="178">
        <v>10</v>
      </c>
      <c r="D283" s="157" t="s">
        <v>203</v>
      </c>
      <c r="E283" s="178">
        <v>5210236</v>
      </c>
      <c r="F283" s="157" t="s">
        <v>208</v>
      </c>
      <c r="G283" s="57">
        <v>1206</v>
      </c>
      <c r="H283" s="58"/>
      <c r="I283" s="58"/>
      <c r="J283" s="58"/>
      <c r="K283" s="58"/>
      <c r="L283" s="58"/>
      <c r="M283" s="58"/>
      <c r="N283" s="75"/>
      <c r="O283" s="86"/>
      <c r="P283" s="86"/>
      <c r="Q283" s="86"/>
      <c r="R283" s="87">
        <f>G283+H283+I283</f>
        <v>1206</v>
      </c>
      <c r="S283" s="56"/>
    </row>
    <row r="284" spans="1:19" ht="25.5">
      <c r="A284" s="154" t="s">
        <v>428</v>
      </c>
      <c r="B284" s="155"/>
      <c r="C284" s="155">
        <v>10</v>
      </c>
      <c r="D284" s="155" t="s">
        <v>210</v>
      </c>
      <c r="E284" s="155"/>
      <c r="F284" s="155"/>
      <c r="G284" s="54">
        <f aca="true" t="shared" si="95" ref="G284:R284">G285+G287</f>
        <v>1329.9</v>
      </c>
      <c r="H284" s="54">
        <f t="shared" si="95"/>
        <v>0</v>
      </c>
      <c r="I284" s="54">
        <f t="shared" si="95"/>
        <v>0</v>
      </c>
      <c r="J284" s="54">
        <f t="shared" si="95"/>
        <v>0</v>
      </c>
      <c r="K284" s="54">
        <f t="shared" si="95"/>
        <v>0</v>
      </c>
      <c r="L284" s="54">
        <f t="shared" si="95"/>
        <v>0</v>
      </c>
      <c r="M284" s="54">
        <f t="shared" si="95"/>
        <v>0</v>
      </c>
      <c r="N284" s="73"/>
      <c r="O284" s="82"/>
      <c r="P284" s="82"/>
      <c r="Q284" s="82"/>
      <c r="R284" s="83">
        <f t="shared" si="95"/>
        <v>1329.9</v>
      </c>
      <c r="S284" s="56"/>
    </row>
    <row r="285" spans="1:19" ht="38.25">
      <c r="A285" s="156" t="s">
        <v>429</v>
      </c>
      <c r="B285" s="157" t="s">
        <v>195</v>
      </c>
      <c r="C285" s="157">
        <v>10</v>
      </c>
      <c r="D285" s="157" t="s">
        <v>210</v>
      </c>
      <c r="E285" s="157" t="s">
        <v>430</v>
      </c>
      <c r="F285" s="157"/>
      <c r="G285" s="57">
        <f aca="true" t="shared" si="96" ref="G285:R285">G286</f>
        <v>749.9</v>
      </c>
      <c r="H285" s="57">
        <f t="shared" si="96"/>
        <v>0</v>
      </c>
      <c r="I285" s="57">
        <f t="shared" si="96"/>
        <v>0</v>
      </c>
      <c r="J285" s="57">
        <f t="shared" si="96"/>
        <v>0</v>
      </c>
      <c r="K285" s="57">
        <f t="shared" si="96"/>
        <v>0</v>
      </c>
      <c r="L285" s="57">
        <f t="shared" si="96"/>
        <v>0</v>
      </c>
      <c r="M285" s="57">
        <f t="shared" si="96"/>
        <v>0</v>
      </c>
      <c r="N285" s="74"/>
      <c r="O285" s="84"/>
      <c r="P285" s="84"/>
      <c r="Q285" s="84"/>
      <c r="R285" s="85">
        <f t="shared" si="96"/>
        <v>749.9</v>
      </c>
      <c r="S285" s="56"/>
    </row>
    <row r="286" spans="1:19" ht="25.5">
      <c r="A286" s="156" t="s">
        <v>200</v>
      </c>
      <c r="B286" s="157" t="s">
        <v>195</v>
      </c>
      <c r="C286" s="157">
        <v>10</v>
      </c>
      <c r="D286" s="157" t="s">
        <v>210</v>
      </c>
      <c r="E286" s="157" t="s">
        <v>430</v>
      </c>
      <c r="F286" s="157">
        <v>500</v>
      </c>
      <c r="G286" s="57">
        <v>749.9</v>
      </c>
      <c r="H286" s="58"/>
      <c r="I286" s="58"/>
      <c r="J286" s="58"/>
      <c r="K286" s="58"/>
      <c r="L286" s="58"/>
      <c r="M286" s="58"/>
      <c r="N286" s="75"/>
      <c r="O286" s="86"/>
      <c r="P286" s="86"/>
      <c r="Q286" s="86"/>
      <c r="R286" s="87">
        <f>G286+H286+I286</f>
        <v>749.9</v>
      </c>
      <c r="S286" s="56"/>
    </row>
    <row r="287" spans="1:19" ht="51">
      <c r="A287" s="156" t="s">
        <v>431</v>
      </c>
      <c r="B287" s="157" t="s">
        <v>195</v>
      </c>
      <c r="C287" s="157">
        <v>10</v>
      </c>
      <c r="D287" s="157" t="s">
        <v>210</v>
      </c>
      <c r="E287" s="157" t="s">
        <v>432</v>
      </c>
      <c r="F287" s="157"/>
      <c r="G287" s="57">
        <f aca="true" t="shared" si="97" ref="G287:R287">G288</f>
        <v>580</v>
      </c>
      <c r="H287" s="57">
        <f t="shared" si="97"/>
        <v>0</v>
      </c>
      <c r="I287" s="57">
        <f t="shared" si="97"/>
        <v>0</v>
      </c>
      <c r="J287" s="57">
        <f t="shared" si="97"/>
        <v>0</v>
      </c>
      <c r="K287" s="57">
        <f t="shared" si="97"/>
        <v>0</v>
      </c>
      <c r="L287" s="57">
        <f t="shared" si="97"/>
        <v>0</v>
      </c>
      <c r="M287" s="57">
        <f t="shared" si="97"/>
        <v>0</v>
      </c>
      <c r="N287" s="74"/>
      <c r="O287" s="84"/>
      <c r="P287" s="84"/>
      <c r="Q287" s="84"/>
      <c r="R287" s="85">
        <f t="shared" si="97"/>
        <v>580</v>
      </c>
      <c r="S287" s="56"/>
    </row>
    <row r="288" spans="1:19" ht="25.5">
      <c r="A288" s="156" t="s">
        <v>200</v>
      </c>
      <c r="B288" s="157" t="s">
        <v>195</v>
      </c>
      <c r="C288" s="157">
        <v>10</v>
      </c>
      <c r="D288" s="157" t="s">
        <v>210</v>
      </c>
      <c r="E288" s="157" t="s">
        <v>432</v>
      </c>
      <c r="F288" s="157">
        <v>500</v>
      </c>
      <c r="G288" s="57">
        <v>580</v>
      </c>
      <c r="H288" s="58"/>
      <c r="I288" s="58"/>
      <c r="J288" s="58"/>
      <c r="K288" s="58"/>
      <c r="L288" s="58"/>
      <c r="M288" s="58"/>
      <c r="N288" s="75"/>
      <c r="O288" s="86"/>
      <c r="P288" s="86"/>
      <c r="Q288" s="86"/>
      <c r="R288" s="87">
        <f>G288+H288+I288</f>
        <v>580</v>
      </c>
      <c r="S288" s="56"/>
    </row>
    <row r="289" spans="1:19" ht="12.75">
      <c r="A289" s="154" t="s">
        <v>433</v>
      </c>
      <c r="B289" s="155"/>
      <c r="C289" s="155" t="s">
        <v>214</v>
      </c>
      <c r="D289" s="155" t="s">
        <v>434</v>
      </c>
      <c r="E289" s="155"/>
      <c r="F289" s="155"/>
      <c r="G289" s="54">
        <f>G290</f>
        <v>2000</v>
      </c>
      <c r="H289" s="54">
        <f aca="true" t="shared" si="98" ref="H289:R290">H290</f>
        <v>0</v>
      </c>
      <c r="I289" s="54">
        <f t="shared" si="98"/>
        <v>-735</v>
      </c>
      <c r="J289" s="54">
        <f t="shared" si="98"/>
        <v>0</v>
      </c>
      <c r="K289" s="54">
        <f t="shared" si="98"/>
        <v>0</v>
      </c>
      <c r="L289" s="54">
        <f t="shared" si="98"/>
        <v>0</v>
      </c>
      <c r="M289" s="54">
        <f t="shared" si="98"/>
        <v>0</v>
      </c>
      <c r="N289" s="73">
        <f t="shared" si="98"/>
        <v>0</v>
      </c>
      <c r="O289" s="82">
        <f t="shared" si="98"/>
        <v>80</v>
      </c>
      <c r="P289" s="82">
        <f>P290</f>
        <v>40</v>
      </c>
      <c r="Q289" s="82"/>
      <c r="R289" s="83">
        <f t="shared" si="98"/>
        <v>1385</v>
      </c>
      <c r="S289" s="56"/>
    </row>
    <row r="290" spans="1:19" ht="38.25">
      <c r="A290" s="175" t="s">
        <v>435</v>
      </c>
      <c r="B290" s="157" t="s">
        <v>195</v>
      </c>
      <c r="C290" s="157" t="s">
        <v>214</v>
      </c>
      <c r="D290" s="157" t="s">
        <v>190</v>
      </c>
      <c r="E290" s="157" t="s">
        <v>436</v>
      </c>
      <c r="F290" s="157"/>
      <c r="G290" s="57">
        <f>G291</f>
        <v>2000</v>
      </c>
      <c r="H290" s="57">
        <f t="shared" si="98"/>
        <v>0</v>
      </c>
      <c r="I290" s="57">
        <f t="shared" si="98"/>
        <v>-735</v>
      </c>
      <c r="J290" s="57">
        <f t="shared" si="98"/>
        <v>0</v>
      </c>
      <c r="K290" s="57">
        <f t="shared" si="98"/>
        <v>0</v>
      </c>
      <c r="L290" s="57">
        <f t="shared" si="98"/>
        <v>0</v>
      </c>
      <c r="M290" s="57">
        <f t="shared" si="98"/>
        <v>0</v>
      </c>
      <c r="N290" s="74">
        <f t="shared" si="98"/>
        <v>0</v>
      </c>
      <c r="O290" s="84">
        <f t="shared" si="98"/>
        <v>80</v>
      </c>
      <c r="P290" s="84">
        <f>P291</f>
        <v>40</v>
      </c>
      <c r="Q290" s="84"/>
      <c r="R290" s="85">
        <f t="shared" si="98"/>
        <v>1385</v>
      </c>
      <c r="S290" s="56"/>
    </row>
    <row r="291" spans="1:19" ht="25.5">
      <c r="A291" s="156" t="s">
        <v>200</v>
      </c>
      <c r="B291" s="157" t="s">
        <v>195</v>
      </c>
      <c r="C291" s="157" t="s">
        <v>214</v>
      </c>
      <c r="D291" s="157" t="s">
        <v>190</v>
      </c>
      <c r="E291" s="157" t="s">
        <v>436</v>
      </c>
      <c r="F291" s="157" t="s">
        <v>208</v>
      </c>
      <c r="G291" s="57">
        <v>2000</v>
      </c>
      <c r="H291" s="58"/>
      <c r="I291" s="58">
        <v>-735</v>
      </c>
      <c r="J291" s="58"/>
      <c r="K291" s="58"/>
      <c r="L291" s="58"/>
      <c r="M291" s="58"/>
      <c r="N291" s="75"/>
      <c r="O291" s="86">
        <v>80</v>
      </c>
      <c r="P291" s="86">
        <v>40</v>
      </c>
      <c r="Q291" s="86"/>
      <c r="R291" s="87">
        <f>G291+H291+I291+O291+P291</f>
        <v>1385</v>
      </c>
      <c r="S291" s="56"/>
    </row>
    <row r="292" spans="1:19" ht="12.75">
      <c r="A292" s="154" t="s">
        <v>437</v>
      </c>
      <c r="B292" s="155"/>
      <c r="C292" s="155" t="s">
        <v>438</v>
      </c>
      <c r="D292" s="155"/>
      <c r="E292" s="155"/>
      <c r="F292" s="155"/>
      <c r="G292" s="54">
        <f>G293+G300+G296</f>
        <v>72385</v>
      </c>
      <c r="H292" s="54">
        <f aca="true" t="shared" si="99" ref="H292:O292">H293+H300+H296</f>
        <v>100</v>
      </c>
      <c r="I292" s="54">
        <f t="shared" si="99"/>
        <v>1000</v>
      </c>
      <c r="J292" s="54">
        <f t="shared" si="99"/>
        <v>17601.1</v>
      </c>
      <c r="K292" s="54">
        <f t="shared" si="99"/>
        <v>0</v>
      </c>
      <c r="L292" s="54">
        <f t="shared" si="99"/>
        <v>0</v>
      </c>
      <c r="M292" s="54">
        <f t="shared" si="99"/>
        <v>0</v>
      </c>
      <c r="N292" s="73">
        <f t="shared" si="99"/>
        <v>30</v>
      </c>
      <c r="O292" s="82">
        <f t="shared" si="99"/>
        <v>0</v>
      </c>
      <c r="P292" s="82"/>
      <c r="Q292" s="82"/>
      <c r="R292" s="83">
        <f>R293+R300+R296</f>
        <v>91116.1</v>
      </c>
      <c r="S292" s="56"/>
    </row>
    <row r="293" spans="1:19" ht="38.25">
      <c r="A293" s="154" t="s">
        <v>439</v>
      </c>
      <c r="B293" s="155"/>
      <c r="C293" s="155" t="s">
        <v>438</v>
      </c>
      <c r="D293" s="155" t="s">
        <v>190</v>
      </c>
      <c r="E293" s="155"/>
      <c r="F293" s="155"/>
      <c r="G293" s="54">
        <f>G294</f>
        <v>72385</v>
      </c>
      <c r="H293" s="54">
        <f aca="true" t="shared" si="100" ref="H293:R294">H294</f>
        <v>0</v>
      </c>
      <c r="I293" s="54">
        <f t="shared" si="100"/>
        <v>0</v>
      </c>
      <c r="J293" s="54">
        <f t="shared" si="100"/>
        <v>0</v>
      </c>
      <c r="K293" s="54">
        <f t="shared" si="100"/>
        <v>0</v>
      </c>
      <c r="L293" s="54">
        <f t="shared" si="100"/>
        <v>0</v>
      </c>
      <c r="M293" s="54">
        <f t="shared" si="100"/>
        <v>0</v>
      </c>
      <c r="N293" s="73"/>
      <c r="O293" s="82"/>
      <c r="P293" s="82"/>
      <c r="Q293" s="82"/>
      <c r="R293" s="83">
        <f>R294</f>
        <v>72385</v>
      </c>
      <c r="S293" s="56"/>
    </row>
    <row r="294" spans="1:19" ht="51">
      <c r="A294" s="156" t="s">
        <v>440</v>
      </c>
      <c r="B294" s="157" t="s">
        <v>195</v>
      </c>
      <c r="C294" s="157" t="s">
        <v>438</v>
      </c>
      <c r="D294" s="157" t="s">
        <v>190</v>
      </c>
      <c r="E294" s="157" t="s">
        <v>441</v>
      </c>
      <c r="F294" s="157"/>
      <c r="G294" s="57">
        <f>G295</f>
        <v>72385</v>
      </c>
      <c r="H294" s="57">
        <f t="shared" si="100"/>
        <v>0</v>
      </c>
      <c r="I294" s="57">
        <f t="shared" si="100"/>
        <v>0</v>
      </c>
      <c r="J294" s="57">
        <f t="shared" si="100"/>
        <v>0</v>
      </c>
      <c r="K294" s="57">
        <f t="shared" si="100"/>
        <v>0</v>
      </c>
      <c r="L294" s="57">
        <f t="shared" si="100"/>
        <v>0</v>
      </c>
      <c r="M294" s="57">
        <f t="shared" si="100"/>
        <v>0</v>
      </c>
      <c r="N294" s="74"/>
      <c r="O294" s="84"/>
      <c r="P294" s="84"/>
      <c r="Q294" s="84"/>
      <c r="R294" s="85">
        <f t="shared" si="100"/>
        <v>72385</v>
      </c>
      <c r="S294" s="56"/>
    </row>
    <row r="295" spans="1:19" ht="12.75">
      <c r="A295" s="156" t="s">
        <v>442</v>
      </c>
      <c r="B295" s="157" t="s">
        <v>195</v>
      </c>
      <c r="C295" s="157" t="s">
        <v>438</v>
      </c>
      <c r="D295" s="157" t="s">
        <v>190</v>
      </c>
      <c r="E295" s="157" t="s">
        <v>441</v>
      </c>
      <c r="F295" s="157" t="s">
        <v>443</v>
      </c>
      <c r="G295" s="57">
        <v>72385</v>
      </c>
      <c r="H295" s="58"/>
      <c r="I295" s="58"/>
      <c r="J295" s="58"/>
      <c r="K295" s="58"/>
      <c r="L295" s="58"/>
      <c r="M295" s="58"/>
      <c r="N295" s="75"/>
      <c r="O295" s="86"/>
      <c r="P295" s="86"/>
      <c r="Q295" s="86"/>
      <c r="R295" s="87">
        <f>H295+G295+I295</f>
        <v>72385</v>
      </c>
      <c r="S295" s="56"/>
    </row>
    <row r="296" spans="1:19" ht="12.75">
      <c r="A296" s="156"/>
      <c r="B296" s="157"/>
      <c r="C296" s="155" t="s">
        <v>438</v>
      </c>
      <c r="D296" s="155" t="s">
        <v>196</v>
      </c>
      <c r="E296" s="157"/>
      <c r="F296" s="157"/>
      <c r="G296" s="57"/>
      <c r="H296" s="58"/>
      <c r="I296" s="58"/>
      <c r="J296" s="62">
        <f>J297</f>
        <v>17441.1</v>
      </c>
      <c r="K296" s="62">
        <f aca="true" t="shared" si="101" ref="K296:M297">K297</f>
        <v>0</v>
      </c>
      <c r="L296" s="62">
        <f t="shared" si="101"/>
        <v>0</v>
      </c>
      <c r="M296" s="62">
        <f t="shared" si="101"/>
        <v>0</v>
      </c>
      <c r="N296" s="79"/>
      <c r="O296" s="94"/>
      <c r="P296" s="94"/>
      <c r="Q296" s="94"/>
      <c r="R296" s="87">
        <f>R297</f>
        <v>17441.1</v>
      </c>
      <c r="S296" s="56"/>
    </row>
    <row r="297" spans="1:19" ht="38.25">
      <c r="A297" s="181" t="s">
        <v>76</v>
      </c>
      <c r="B297" s="157" t="s">
        <v>195</v>
      </c>
      <c r="C297" s="157" t="s">
        <v>438</v>
      </c>
      <c r="D297" s="157" t="s">
        <v>196</v>
      </c>
      <c r="E297" s="157" t="s">
        <v>444</v>
      </c>
      <c r="F297" s="157"/>
      <c r="G297" s="57"/>
      <c r="H297" s="58"/>
      <c r="I297" s="58"/>
      <c r="J297" s="58">
        <f>J298</f>
        <v>17441.1</v>
      </c>
      <c r="K297" s="58">
        <f t="shared" si="101"/>
        <v>0</v>
      </c>
      <c r="L297" s="58">
        <f t="shared" si="101"/>
        <v>0</v>
      </c>
      <c r="M297" s="58">
        <f t="shared" si="101"/>
        <v>0</v>
      </c>
      <c r="N297" s="75"/>
      <c r="O297" s="86"/>
      <c r="P297" s="86"/>
      <c r="Q297" s="86"/>
      <c r="R297" s="87">
        <f>R298</f>
        <v>17441.1</v>
      </c>
      <c r="S297" s="56"/>
    </row>
    <row r="298" spans="1:19" ht="12.75">
      <c r="A298" s="64" t="s">
        <v>445</v>
      </c>
      <c r="B298" s="157" t="s">
        <v>195</v>
      </c>
      <c r="C298" s="157" t="s">
        <v>438</v>
      </c>
      <c r="D298" s="157" t="s">
        <v>196</v>
      </c>
      <c r="E298" s="157" t="s">
        <v>444</v>
      </c>
      <c r="F298" s="157" t="s">
        <v>446</v>
      </c>
      <c r="G298" s="57"/>
      <c r="H298" s="58"/>
      <c r="I298" s="58"/>
      <c r="J298" s="58">
        <v>17441.1</v>
      </c>
      <c r="K298" s="58">
        <v>0</v>
      </c>
      <c r="L298" s="58"/>
      <c r="M298" s="58"/>
      <c r="N298" s="75"/>
      <c r="O298" s="86"/>
      <c r="P298" s="86"/>
      <c r="Q298" s="86"/>
      <c r="R298" s="87">
        <f>SUM(G298:K298)</f>
        <v>17441.1</v>
      </c>
      <c r="S298" s="56"/>
    </row>
    <row r="299" spans="1:19" s="165" customFormat="1" ht="27.75" customHeight="1">
      <c r="A299" s="182" t="s">
        <v>447</v>
      </c>
      <c r="B299" s="155"/>
      <c r="C299" s="155" t="s">
        <v>438</v>
      </c>
      <c r="D299" s="155" t="s">
        <v>243</v>
      </c>
      <c r="E299" s="155"/>
      <c r="F299" s="155"/>
      <c r="G299" s="54">
        <f>G300</f>
        <v>0</v>
      </c>
      <c r="H299" s="54">
        <f>H300</f>
        <v>100</v>
      </c>
      <c r="I299" s="54">
        <f>I300</f>
        <v>1000</v>
      </c>
      <c r="J299" s="54">
        <f aca="true" t="shared" si="102" ref="J299:O300">J300</f>
        <v>160</v>
      </c>
      <c r="K299" s="54">
        <f t="shared" si="102"/>
        <v>0</v>
      </c>
      <c r="L299" s="54">
        <f t="shared" si="102"/>
        <v>0</v>
      </c>
      <c r="M299" s="54">
        <f t="shared" si="102"/>
        <v>0</v>
      </c>
      <c r="N299" s="73">
        <f t="shared" si="102"/>
        <v>30</v>
      </c>
      <c r="O299" s="82">
        <f t="shared" si="102"/>
        <v>0</v>
      </c>
      <c r="P299" s="82"/>
      <c r="Q299" s="82"/>
      <c r="R299" s="83">
        <f>R300</f>
        <v>1290</v>
      </c>
      <c r="S299" s="65"/>
    </row>
    <row r="300" spans="1:19" ht="76.5">
      <c r="A300" s="175" t="s">
        <v>448</v>
      </c>
      <c r="B300" s="169" t="s">
        <v>195</v>
      </c>
      <c r="C300" s="169" t="s">
        <v>438</v>
      </c>
      <c r="D300" s="169" t="s">
        <v>243</v>
      </c>
      <c r="E300" s="169" t="s">
        <v>449</v>
      </c>
      <c r="F300" s="169"/>
      <c r="G300" s="57"/>
      <c r="H300" s="58">
        <f>H301</f>
        <v>100</v>
      </c>
      <c r="I300" s="58">
        <f>I301</f>
        <v>1000</v>
      </c>
      <c r="J300" s="58">
        <f t="shared" si="102"/>
        <v>160</v>
      </c>
      <c r="K300" s="58">
        <f t="shared" si="102"/>
        <v>0</v>
      </c>
      <c r="L300" s="58">
        <f t="shared" si="102"/>
        <v>0</v>
      </c>
      <c r="M300" s="58">
        <f t="shared" si="102"/>
        <v>0</v>
      </c>
      <c r="N300" s="75">
        <f t="shared" si="102"/>
        <v>30</v>
      </c>
      <c r="O300" s="86">
        <f t="shared" si="102"/>
        <v>0</v>
      </c>
      <c r="P300" s="86"/>
      <c r="Q300" s="86"/>
      <c r="R300" s="87">
        <f>R301</f>
        <v>1290</v>
      </c>
      <c r="S300" s="56"/>
    </row>
    <row r="301" spans="1:19" ht="12.75">
      <c r="A301" s="175" t="s">
        <v>164</v>
      </c>
      <c r="B301" s="169" t="s">
        <v>195</v>
      </c>
      <c r="C301" s="169" t="s">
        <v>438</v>
      </c>
      <c r="D301" s="169" t="s">
        <v>243</v>
      </c>
      <c r="E301" s="169" t="s">
        <v>449</v>
      </c>
      <c r="F301" s="169" t="s">
        <v>450</v>
      </c>
      <c r="G301" s="57"/>
      <c r="H301" s="58">
        <v>100</v>
      </c>
      <c r="I301" s="58">
        <v>1000</v>
      </c>
      <c r="J301" s="58">
        <v>160</v>
      </c>
      <c r="K301" s="58"/>
      <c r="L301" s="58"/>
      <c r="M301" s="58"/>
      <c r="N301" s="75">
        <f>30</f>
        <v>30</v>
      </c>
      <c r="O301" s="86"/>
      <c r="P301" s="86"/>
      <c r="Q301" s="86"/>
      <c r="R301" s="87">
        <f>G301+H301+I301+J301+N301</f>
        <v>1290</v>
      </c>
      <c r="S301" s="56"/>
    </row>
    <row r="302" spans="1:19" ht="12.75">
      <c r="A302" s="153" t="s">
        <v>188</v>
      </c>
      <c r="B302" s="183"/>
      <c r="C302" s="183"/>
      <c r="D302" s="183"/>
      <c r="E302" s="183"/>
      <c r="F302" s="183"/>
      <c r="G302" s="54">
        <f aca="true" t="shared" si="103" ref="G302:O302">G292+G247+G208+G191+G125+G121+G72+G62+G21+G114+G59+G289</f>
        <v>1526047.825</v>
      </c>
      <c r="H302" s="54">
        <f t="shared" si="103"/>
        <v>49416.409999999996</v>
      </c>
      <c r="I302" s="54">
        <f t="shared" si="103"/>
        <v>0</v>
      </c>
      <c r="J302" s="54">
        <f t="shared" si="103"/>
        <v>43229.68902</v>
      </c>
      <c r="K302" s="54">
        <f t="shared" si="103"/>
        <v>1000</v>
      </c>
      <c r="L302" s="54">
        <f t="shared" si="103"/>
        <v>-34995.061559999995</v>
      </c>
      <c r="M302" s="54">
        <f t="shared" si="103"/>
        <v>0</v>
      </c>
      <c r="N302" s="73">
        <f t="shared" si="103"/>
        <v>49824.366</v>
      </c>
      <c r="O302" s="82">
        <f t="shared" si="103"/>
        <v>0</v>
      </c>
      <c r="P302" s="82">
        <f>P292+P247+P208+P191+P125+P121+P72+P62+P21+P114+P59+P289</f>
        <v>11081.58915</v>
      </c>
      <c r="Q302" s="82">
        <f>Q292+Q247+Q208+Q191+Q125+Q121+Q72+Q62+Q21+Q114+Q59+Q289+Q138</f>
        <v>0</v>
      </c>
      <c r="R302" s="83">
        <f>R292+R247+R208+R191+R125+R121+R72+R62+R21+R114+R59+R289</f>
        <v>1645604.8176099996</v>
      </c>
      <c r="S302" s="56"/>
    </row>
    <row r="303" spans="1:7" ht="12.75">
      <c r="A303" s="125"/>
      <c r="B303" s="125"/>
      <c r="C303" s="125"/>
      <c r="D303" s="125"/>
      <c r="E303" s="125"/>
      <c r="F303" s="125"/>
      <c r="G303" s="184"/>
    </row>
    <row r="304" spans="1:7" ht="12.75">
      <c r="A304" s="185" t="s">
        <v>451</v>
      </c>
      <c r="B304" s="186"/>
      <c r="C304" s="186"/>
      <c r="D304" s="186"/>
      <c r="E304" s="186"/>
      <c r="F304" s="187"/>
      <c r="G304" s="124"/>
    </row>
    <row r="305" spans="1:7" ht="12.75">
      <c r="A305" s="188" t="s">
        <v>452</v>
      </c>
      <c r="B305" s="186"/>
      <c r="C305" s="186"/>
      <c r="D305" s="186"/>
      <c r="E305" s="186"/>
      <c r="F305" s="124" t="s">
        <v>453</v>
      </c>
      <c r="G305" s="124"/>
    </row>
    <row r="306" spans="1:14" ht="12.75">
      <c r="A306" s="66"/>
      <c r="B306" s="66"/>
      <c r="C306" s="66"/>
      <c r="D306" s="66"/>
      <c r="E306" s="66"/>
      <c r="F306" s="66"/>
      <c r="G306" s="66"/>
      <c r="N306" s="189">
        <f>N302-'доходная часть'!I118</f>
        <v>0</v>
      </c>
    </row>
    <row r="307" spans="1:18" ht="12.75">
      <c r="A307" s="66"/>
      <c r="B307" s="66"/>
      <c r="C307" s="66"/>
      <c r="D307" s="66"/>
      <c r="E307" s="66"/>
      <c r="F307" s="66"/>
      <c r="G307" s="66"/>
      <c r="H307" s="190"/>
      <c r="K307" s="220"/>
      <c r="L307" s="220"/>
      <c r="M307" s="220"/>
      <c r="N307" s="220"/>
      <c r="O307" s="220"/>
      <c r="P307" s="220"/>
      <c r="Q307" s="220"/>
      <c r="R307" s="220"/>
    </row>
    <row r="308" spans="1:18" ht="12.75">
      <c r="A308" s="66"/>
      <c r="B308" s="66"/>
      <c r="C308" s="66"/>
      <c r="D308" s="66"/>
      <c r="E308" s="66"/>
      <c r="F308" s="66"/>
      <c r="G308" s="66"/>
      <c r="K308" s="220"/>
      <c r="L308" s="220"/>
      <c r="M308" s="220"/>
      <c r="N308" s="220"/>
      <c r="O308" s="220"/>
      <c r="P308" s="220"/>
      <c r="Q308" s="220"/>
      <c r="R308" s="220"/>
    </row>
    <row r="309" spans="1:7" ht="12.75">
      <c r="A309" s="66"/>
      <c r="B309" s="66"/>
      <c r="C309" s="66"/>
      <c r="D309" s="66"/>
      <c r="E309" s="66"/>
      <c r="F309" s="66"/>
      <c r="G309" s="67"/>
    </row>
    <row r="310" ht="12.75">
      <c r="G310" s="191"/>
    </row>
    <row r="313" ht="12.75">
      <c r="G313" s="191"/>
    </row>
    <row r="314" ht="12.75">
      <c r="G314" s="192"/>
    </row>
  </sheetData>
  <sheetProtection/>
  <mergeCells count="17">
    <mergeCell ref="E10:R10"/>
    <mergeCell ref="K11:R11"/>
    <mergeCell ref="A12:R12"/>
    <mergeCell ref="K308:R308"/>
    <mergeCell ref="A14:R14"/>
    <mergeCell ref="A15:R15"/>
    <mergeCell ref="A16:G16"/>
    <mergeCell ref="G17:R17"/>
    <mergeCell ref="K307:R307"/>
    <mergeCell ref="E1:R1"/>
    <mergeCell ref="E2:R2"/>
    <mergeCell ref="E3:R3"/>
    <mergeCell ref="E4:R4"/>
    <mergeCell ref="E6:R6"/>
    <mergeCell ref="E7:R7"/>
    <mergeCell ref="E8:R8"/>
    <mergeCell ref="E9:R9"/>
  </mergeCells>
  <printOptions/>
  <pageMargins left="0.75" right="0.75" top="0.51" bottom="0.52" header="0.5" footer="0.5"/>
  <pageSetup fitToHeight="200" fitToWidth="1" horizontalDpi="600" verticalDpi="600" orientation="portrait" paperSize="9" scale="81" r:id="rId1"/>
  <rowBreaks count="1" manualBreakCount="1">
    <brk id="27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4.00390625" style="106" customWidth="1"/>
    <col min="2" max="2" width="42.375" style="106" customWidth="1"/>
    <col min="3" max="3" width="20.00390625" style="106" customWidth="1"/>
    <col min="4" max="16384" width="9.125" style="106" customWidth="1"/>
  </cols>
  <sheetData>
    <row r="1" spans="2:3" ht="12.75">
      <c r="B1" s="194" t="s">
        <v>454</v>
      </c>
      <c r="C1" s="194"/>
    </row>
    <row r="2" spans="2:3" ht="12.75">
      <c r="B2" s="194" t="s">
        <v>455</v>
      </c>
      <c r="C2" s="194"/>
    </row>
    <row r="3" spans="2:3" ht="12.75">
      <c r="B3" s="194" t="s">
        <v>456</v>
      </c>
      <c r="C3" s="194"/>
    </row>
    <row r="4" spans="2:3" ht="12.75">
      <c r="B4" s="223" t="s">
        <v>457</v>
      </c>
      <c r="C4" s="223"/>
    </row>
    <row r="5" spans="2:3" ht="12.75">
      <c r="B5" s="223" t="s">
        <v>458</v>
      </c>
      <c r="C5" s="223"/>
    </row>
    <row r="6" spans="2:3" ht="12.75">
      <c r="B6" s="108"/>
      <c r="C6" s="109" t="s">
        <v>507</v>
      </c>
    </row>
    <row r="7" spans="2:3" ht="12.75">
      <c r="B7" s="223" t="s">
        <v>459</v>
      </c>
      <c r="C7" s="223"/>
    </row>
    <row r="8" spans="2:3" ht="12.75">
      <c r="B8" s="223" t="s">
        <v>455</v>
      </c>
      <c r="C8" s="223"/>
    </row>
    <row r="9" spans="2:3" ht="12.75">
      <c r="B9" s="223" t="s">
        <v>2</v>
      </c>
      <c r="C9" s="223"/>
    </row>
    <row r="10" spans="2:3" ht="12.75">
      <c r="B10" s="223" t="s">
        <v>458</v>
      </c>
      <c r="C10" s="223"/>
    </row>
    <row r="11" spans="2:3" ht="12.75">
      <c r="B11" s="108"/>
      <c r="C11" s="109" t="s">
        <v>5</v>
      </c>
    </row>
    <row r="12" spans="2:3" ht="12.75">
      <c r="B12" s="224"/>
      <c r="C12" s="224"/>
    </row>
    <row r="13" spans="1:3" ht="12.75">
      <c r="A13" s="193" t="s">
        <v>460</v>
      </c>
      <c r="B13" s="193"/>
      <c r="C13" s="193"/>
    </row>
    <row r="14" spans="1:3" ht="12.75">
      <c r="A14" s="193" t="s">
        <v>506</v>
      </c>
      <c r="B14" s="193"/>
      <c r="C14" s="193"/>
    </row>
    <row r="15" ht="13.5" thickBot="1">
      <c r="C15" s="68" t="s">
        <v>461</v>
      </c>
    </row>
    <row r="16" spans="1:3" ht="36" customHeight="1">
      <c r="A16" s="110" t="s">
        <v>462</v>
      </c>
      <c r="B16" s="111" t="s">
        <v>463</v>
      </c>
      <c r="C16" s="112" t="s">
        <v>10</v>
      </c>
    </row>
    <row r="17" spans="1:6" ht="22.5" customHeight="1">
      <c r="A17" s="113" t="s">
        <v>464</v>
      </c>
      <c r="B17" s="114" t="s">
        <v>465</v>
      </c>
      <c r="C17" s="115">
        <f>'расходная часть'!R302</f>
        <v>1645604.8176099996</v>
      </c>
      <c r="F17" s="69"/>
    </row>
    <row r="18" spans="1:3" ht="12.75">
      <c r="A18" s="116" t="s">
        <v>466</v>
      </c>
      <c r="B18" s="117" t="s">
        <v>467</v>
      </c>
      <c r="C18" s="118">
        <f>-'доходная часть'!K118</f>
        <v>-1559560.8521500002</v>
      </c>
    </row>
    <row r="19" spans="1:3" ht="13.5" thickBot="1">
      <c r="A19" s="119"/>
      <c r="B19" s="120" t="s">
        <v>468</v>
      </c>
      <c r="C19" s="121">
        <f>C18+C17</f>
        <v>86043.9654599994</v>
      </c>
    </row>
    <row r="20" spans="1:3" ht="12.75">
      <c r="A20" s="70"/>
      <c r="B20" s="70"/>
      <c r="C20" s="71"/>
    </row>
    <row r="21" spans="1:3" ht="12.75">
      <c r="A21" s="70"/>
      <c r="B21" s="70"/>
      <c r="C21" s="71"/>
    </row>
    <row r="23" spans="1:3" ht="21" customHeight="1">
      <c r="A23" s="122" t="s">
        <v>451</v>
      </c>
      <c r="B23" s="122"/>
      <c r="C23" s="123"/>
    </row>
    <row r="24" spans="1:3" ht="16.5" customHeight="1">
      <c r="A24" s="122" t="s">
        <v>469</v>
      </c>
      <c r="B24" s="122"/>
      <c r="C24" s="123" t="s">
        <v>470</v>
      </c>
    </row>
  </sheetData>
  <sheetProtection/>
  <mergeCells count="12">
    <mergeCell ref="A14:C14"/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B12:C12"/>
    <mergeCell ref="A13:C13"/>
  </mergeCells>
  <printOptions/>
  <pageMargins left="0.75" right="0.75" top="0.51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Pakestan</cp:lastModifiedBy>
  <cp:lastPrinted>2011-08-24T09:00:47Z</cp:lastPrinted>
  <dcterms:created xsi:type="dcterms:W3CDTF">2011-07-12T22:23:45Z</dcterms:created>
  <dcterms:modified xsi:type="dcterms:W3CDTF">2011-08-24T05:20:42Z</dcterms:modified>
  <cp:category/>
  <cp:version/>
  <cp:contentType/>
  <cp:contentStatus/>
</cp:coreProperties>
</file>