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1640" activeTab="3"/>
  </bookViews>
  <sheets>
    <sheet name="доходы " sheetId="5" r:id="rId1"/>
    <sheet name="расходная часть (2)" sheetId="7" r:id="rId2"/>
    <sheet name="источники (2)" sheetId="8" r:id="rId3"/>
    <sheet name="числ-сть" sheetId="6" r:id="rId4"/>
  </sheets>
  <externalReferences>
    <externalReference r:id="rId5"/>
  </externalReferences>
  <definedNames>
    <definedName name="_xlnm._FilterDatabase" localSheetId="1" hidden="1">'расходная часть (2)'!$B$10:$G$501</definedName>
    <definedName name="_xlnm.Print_Area" localSheetId="0">'доходы '!$A$1:$F$154</definedName>
    <definedName name="_xlnm.Print_Area" localSheetId="2">'источники (2)'!$A$1:$B$22</definedName>
    <definedName name="_xlnm.Print_Area" localSheetId="1">'расходная часть (2)'!$A$1:$T$504</definedName>
  </definedNames>
  <calcPr calcId="124519"/>
</workbook>
</file>

<file path=xl/calcChain.xml><?xml version="1.0" encoding="utf-8"?>
<calcChain xmlns="http://schemas.openxmlformats.org/spreadsheetml/2006/main">
  <c r="T500" i="7"/>
  <c r="T11"/>
  <c r="B16" i="8"/>
  <c r="B13"/>
  <c r="B11" s="1"/>
  <c r="B10" s="1"/>
  <c r="B8"/>
  <c r="B7" l="1"/>
  <c r="T219" i="7"/>
  <c r="T168"/>
  <c r="T158"/>
  <c r="T38" l="1"/>
  <c r="T34"/>
  <c r="N14"/>
  <c r="N13" s="1"/>
  <c r="O14"/>
  <c r="O13" s="1"/>
  <c r="P14"/>
  <c r="P13" s="1"/>
  <c r="Q14"/>
  <c r="Q13" s="1"/>
  <c r="H15"/>
  <c r="H14" s="1"/>
  <c r="H13" s="1"/>
  <c r="I15"/>
  <c r="I14" s="1"/>
  <c r="I13" s="1"/>
  <c r="J15"/>
  <c r="J14" s="1"/>
  <c r="J13" s="1"/>
  <c r="K15"/>
  <c r="K14" s="1"/>
  <c r="K13" s="1"/>
  <c r="L15"/>
  <c r="L14" s="1"/>
  <c r="L13" s="1"/>
  <c r="M15"/>
  <c r="M14" s="1"/>
  <c r="M13" s="1"/>
  <c r="S15"/>
  <c r="S14" s="1"/>
  <c r="S13" s="1"/>
  <c r="G16"/>
  <c r="G15" s="1"/>
  <c r="G14" s="1"/>
  <c r="G13" s="1"/>
  <c r="R18"/>
  <c r="R13" s="1"/>
  <c r="H21"/>
  <c r="H20" s="1"/>
  <c r="I21"/>
  <c r="I20" s="1"/>
  <c r="J21"/>
  <c r="J20" s="1"/>
  <c r="K21"/>
  <c r="K20" s="1"/>
  <c r="L21"/>
  <c r="L20" s="1"/>
  <c r="M21"/>
  <c r="M20" s="1"/>
  <c r="N21"/>
  <c r="N20" s="1"/>
  <c r="O21"/>
  <c r="O20" s="1"/>
  <c r="P21"/>
  <c r="R21"/>
  <c r="G22"/>
  <c r="G21" s="1"/>
  <c r="G20" s="1"/>
  <c r="S22"/>
  <c r="S23"/>
  <c r="Q25"/>
  <c r="S25"/>
  <c r="Q27"/>
  <c r="P29"/>
  <c r="Q29"/>
  <c r="R31"/>
  <c r="G34"/>
  <c r="G33" s="1"/>
  <c r="H34"/>
  <c r="H33" s="1"/>
  <c r="I34"/>
  <c r="I33" s="1"/>
  <c r="J34"/>
  <c r="J33" s="1"/>
  <c r="K34"/>
  <c r="K33" s="1"/>
  <c r="L34"/>
  <c r="L33" s="1"/>
  <c r="M34"/>
  <c r="M33" s="1"/>
  <c r="N34"/>
  <c r="N33" s="1"/>
  <c r="O34"/>
  <c r="O33" s="1"/>
  <c r="P34"/>
  <c r="P33" s="1"/>
  <c r="Q34"/>
  <c r="Q33" s="1"/>
  <c r="H38"/>
  <c r="H37" s="1"/>
  <c r="I38"/>
  <c r="I37" s="1"/>
  <c r="J38"/>
  <c r="J37" s="1"/>
  <c r="K38"/>
  <c r="K37" s="1"/>
  <c r="L38"/>
  <c r="L37" s="1"/>
  <c r="M38"/>
  <c r="M37" s="1"/>
  <c r="N38"/>
  <c r="N37" s="1"/>
  <c r="O38"/>
  <c r="O37" s="1"/>
  <c r="P38"/>
  <c r="P37" s="1"/>
  <c r="Q38"/>
  <c r="Q37" s="1"/>
  <c r="S38"/>
  <c r="S37" s="1"/>
  <c r="G39"/>
  <c r="G38" s="1"/>
  <c r="G37" s="1"/>
  <c r="R41"/>
  <c r="R37" s="1"/>
  <c r="N43"/>
  <c r="G44"/>
  <c r="G43" s="1"/>
  <c r="H44"/>
  <c r="H43" s="1"/>
  <c r="I44"/>
  <c r="I43" s="1"/>
  <c r="J44"/>
  <c r="J43" s="1"/>
  <c r="K44"/>
  <c r="K43" s="1"/>
  <c r="L44"/>
  <c r="L43" s="1"/>
  <c r="P44"/>
  <c r="P43" s="1"/>
  <c r="M45"/>
  <c r="M44" s="1"/>
  <c r="M43" s="1"/>
  <c r="O45"/>
  <c r="O44" s="1"/>
  <c r="O43" s="1"/>
  <c r="Q45"/>
  <c r="Q44" s="1"/>
  <c r="Q43" s="1"/>
  <c r="R45"/>
  <c r="R44" s="1"/>
  <c r="R43" s="1"/>
  <c r="S45"/>
  <c r="S44" s="1"/>
  <c r="S43" s="1"/>
  <c r="G47"/>
  <c r="H47"/>
  <c r="I47"/>
  <c r="J47"/>
  <c r="K47"/>
  <c r="L47"/>
  <c r="M47"/>
  <c r="P49"/>
  <c r="Q49"/>
  <c r="R49"/>
  <c r="O50"/>
  <c r="O49" s="1"/>
  <c r="S50"/>
  <c r="S49" s="1"/>
  <c r="G52"/>
  <c r="H52"/>
  <c r="I52"/>
  <c r="J52"/>
  <c r="K52"/>
  <c r="L52"/>
  <c r="M52"/>
  <c r="N52"/>
  <c r="O52"/>
  <c r="P52"/>
  <c r="R52"/>
  <c r="S52"/>
  <c r="Q53"/>
  <c r="Q52" s="1"/>
  <c r="P56"/>
  <c r="G58"/>
  <c r="H58"/>
  <c r="I58"/>
  <c r="J58"/>
  <c r="K58"/>
  <c r="L58"/>
  <c r="N58"/>
  <c r="O58"/>
  <c r="P58"/>
  <c r="R58"/>
  <c r="M59"/>
  <c r="M58" s="1"/>
  <c r="Q59"/>
  <c r="Q58" s="1"/>
  <c r="S59"/>
  <c r="S60"/>
  <c r="S61"/>
  <c r="S62"/>
  <c r="H63"/>
  <c r="I63"/>
  <c r="J63"/>
  <c r="K63"/>
  <c r="L63"/>
  <c r="M63"/>
  <c r="N63"/>
  <c r="O63"/>
  <c r="P63"/>
  <c r="Q63"/>
  <c r="S63"/>
  <c r="G64"/>
  <c r="G63" s="1"/>
  <c r="G68"/>
  <c r="H68"/>
  <c r="I68"/>
  <c r="J68"/>
  <c r="K68"/>
  <c r="L68"/>
  <c r="M68"/>
  <c r="N68"/>
  <c r="O68"/>
  <c r="P68"/>
  <c r="Q68"/>
  <c r="L70"/>
  <c r="M70"/>
  <c r="O70"/>
  <c r="P70"/>
  <c r="Q70"/>
  <c r="N71"/>
  <c r="N70" s="1"/>
  <c r="H72"/>
  <c r="I72"/>
  <c r="J72"/>
  <c r="K72"/>
  <c r="L72"/>
  <c r="M72"/>
  <c r="N72"/>
  <c r="O72"/>
  <c r="P72"/>
  <c r="Q72"/>
  <c r="S72"/>
  <c r="G73"/>
  <c r="G72" s="1"/>
  <c r="G77"/>
  <c r="I77"/>
  <c r="J77"/>
  <c r="K77"/>
  <c r="L77"/>
  <c r="M77"/>
  <c r="N77"/>
  <c r="P77"/>
  <c r="Q77"/>
  <c r="R77"/>
  <c r="S77"/>
  <c r="H78"/>
  <c r="H77" s="1"/>
  <c r="O78"/>
  <c r="O80"/>
  <c r="O82"/>
  <c r="O83"/>
  <c r="N84"/>
  <c r="O84"/>
  <c r="P84"/>
  <c r="Q84"/>
  <c r="P86"/>
  <c r="Q86"/>
  <c r="R88"/>
  <c r="G91"/>
  <c r="G90" s="1"/>
  <c r="H91"/>
  <c r="H90" s="1"/>
  <c r="I91"/>
  <c r="I90" s="1"/>
  <c r="J91"/>
  <c r="J90" s="1"/>
  <c r="K91"/>
  <c r="K90" s="1"/>
  <c r="L91"/>
  <c r="L90" s="1"/>
  <c r="M91"/>
  <c r="M90" s="1"/>
  <c r="N91"/>
  <c r="N90" s="1"/>
  <c r="O91"/>
  <c r="O90" s="1"/>
  <c r="P91"/>
  <c r="P90" s="1"/>
  <c r="Q91"/>
  <c r="Q90" s="1"/>
  <c r="J94"/>
  <c r="K94"/>
  <c r="L94"/>
  <c r="M94"/>
  <c r="N94"/>
  <c r="O94"/>
  <c r="P94"/>
  <c r="Q94"/>
  <c r="G95"/>
  <c r="G94" s="1"/>
  <c r="H95"/>
  <c r="H94" s="1"/>
  <c r="I95"/>
  <c r="I94" s="1"/>
  <c r="G98"/>
  <c r="G97" s="1"/>
  <c r="H98"/>
  <c r="H97" s="1"/>
  <c r="I98"/>
  <c r="I97" s="1"/>
  <c r="J98"/>
  <c r="J97" s="1"/>
  <c r="K98"/>
  <c r="K97" s="1"/>
  <c r="L98"/>
  <c r="L97" s="1"/>
  <c r="M98"/>
  <c r="M97" s="1"/>
  <c r="N98"/>
  <c r="N97" s="1"/>
  <c r="O98"/>
  <c r="O97" s="1"/>
  <c r="P98"/>
  <c r="P97" s="1"/>
  <c r="Q98"/>
  <c r="Q97" s="1"/>
  <c r="R98"/>
  <c r="R97" s="1"/>
  <c r="R93" s="1"/>
  <c r="G101"/>
  <c r="G100" s="1"/>
  <c r="H101"/>
  <c r="H100" s="1"/>
  <c r="I101"/>
  <c r="I100" s="1"/>
  <c r="J101"/>
  <c r="J100" s="1"/>
  <c r="K101"/>
  <c r="K100" s="1"/>
  <c r="L101"/>
  <c r="L100" s="1"/>
  <c r="M101"/>
  <c r="M100" s="1"/>
  <c r="N101"/>
  <c r="N100" s="1"/>
  <c r="O101"/>
  <c r="O100" s="1"/>
  <c r="P101"/>
  <c r="P100" s="1"/>
  <c r="Q101"/>
  <c r="Q100" s="1"/>
  <c r="S101"/>
  <c r="S100" s="1"/>
  <c r="S93" s="1"/>
  <c r="N104"/>
  <c r="N103" s="1"/>
  <c r="O104"/>
  <c r="O103" s="1"/>
  <c r="P104"/>
  <c r="P103" s="1"/>
  <c r="Q104"/>
  <c r="Q103" s="1"/>
  <c r="H108"/>
  <c r="I108"/>
  <c r="J108"/>
  <c r="K108"/>
  <c r="L108"/>
  <c r="M108"/>
  <c r="O108"/>
  <c r="P108"/>
  <c r="Q108"/>
  <c r="R108"/>
  <c r="S108"/>
  <c r="G109"/>
  <c r="G108" s="1"/>
  <c r="G107" s="1"/>
  <c r="G113"/>
  <c r="H113"/>
  <c r="I113"/>
  <c r="J113"/>
  <c r="K113"/>
  <c r="L113"/>
  <c r="M113"/>
  <c r="N113"/>
  <c r="O113"/>
  <c r="P113"/>
  <c r="Q113"/>
  <c r="G116"/>
  <c r="H116"/>
  <c r="I116"/>
  <c r="J116"/>
  <c r="K116"/>
  <c r="L116"/>
  <c r="M116"/>
  <c r="N116"/>
  <c r="O116"/>
  <c r="P116"/>
  <c r="Q116"/>
  <c r="P118"/>
  <c r="Q118"/>
  <c r="R118"/>
  <c r="G120"/>
  <c r="H120"/>
  <c r="I120"/>
  <c r="J120"/>
  <c r="K120"/>
  <c r="L120"/>
  <c r="M120"/>
  <c r="N120"/>
  <c r="O120"/>
  <c r="P120"/>
  <c r="Q120"/>
  <c r="G122"/>
  <c r="H122"/>
  <c r="I122"/>
  <c r="J122"/>
  <c r="K122"/>
  <c r="L122"/>
  <c r="M122"/>
  <c r="N122"/>
  <c r="O122"/>
  <c r="P122"/>
  <c r="Q122"/>
  <c r="G124"/>
  <c r="H124"/>
  <c r="I124"/>
  <c r="J124"/>
  <c r="K124"/>
  <c r="L124"/>
  <c r="M124"/>
  <c r="N124"/>
  <c r="O124"/>
  <c r="P124"/>
  <c r="Q124"/>
  <c r="G126"/>
  <c r="H126"/>
  <c r="I126"/>
  <c r="J126"/>
  <c r="K126"/>
  <c r="L126"/>
  <c r="M126"/>
  <c r="N126"/>
  <c r="O126"/>
  <c r="P126"/>
  <c r="Q126"/>
  <c r="G128"/>
  <c r="H128"/>
  <c r="I128"/>
  <c r="J128"/>
  <c r="K128"/>
  <c r="L128"/>
  <c r="M128"/>
  <c r="N128"/>
  <c r="O128"/>
  <c r="P128"/>
  <c r="Q128"/>
  <c r="G130"/>
  <c r="H130"/>
  <c r="I130"/>
  <c r="G132"/>
  <c r="H132"/>
  <c r="I132"/>
  <c r="J132"/>
  <c r="K132"/>
  <c r="L132"/>
  <c r="M132"/>
  <c r="N132"/>
  <c r="O132"/>
  <c r="P132"/>
  <c r="Q132"/>
  <c r="P134"/>
  <c r="Q134"/>
  <c r="H136"/>
  <c r="I136"/>
  <c r="J136"/>
  <c r="K136"/>
  <c r="L136"/>
  <c r="M136"/>
  <c r="N136"/>
  <c r="O136"/>
  <c r="P136"/>
  <c r="R136"/>
  <c r="S136"/>
  <c r="G137"/>
  <c r="G136" s="1"/>
  <c r="Q140"/>
  <c r="Q136" s="1"/>
  <c r="H141"/>
  <c r="I141"/>
  <c r="J141"/>
  <c r="K141"/>
  <c r="L141"/>
  <c r="M141"/>
  <c r="N141"/>
  <c r="O141"/>
  <c r="P141"/>
  <c r="Q141"/>
  <c r="S141"/>
  <c r="G142"/>
  <c r="G145"/>
  <c r="R145"/>
  <c r="R141" s="1"/>
  <c r="G146"/>
  <c r="H146"/>
  <c r="I146"/>
  <c r="O146"/>
  <c r="N148"/>
  <c r="P148"/>
  <c r="Q148"/>
  <c r="G149"/>
  <c r="G148" s="1"/>
  <c r="H149"/>
  <c r="H148" s="1"/>
  <c r="I149"/>
  <c r="I148" s="1"/>
  <c r="J149"/>
  <c r="J148" s="1"/>
  <c r="K149"/>
  <c r="K148" s="1"/>
  <c r="L149"/>
  <c r="L148" s="1"/>
  <c r="M149"/>
  <c r="M148" s="1"/>
  <c r="O149"/>
  <c r="O148" s="1"/>
  <c r="L152"/>
  <c r="M152"/>
  <c r="L154"/>
  <c r="M154"/>
  <c r="G155"/>
  <c r="G154" s="1"/>
  <c r="H155"/>
  <c r="H154" s="1"/>
  <c r="I155"/>
  <c r="I154" s="1"/>
  <c r="J155"/>
  <c r="J154" s="1"/>
  <c r="K155"/>
  <c r="K154" s="1"/>
  <c r="O156"/>
  <c r="O155" s="1"/>
  <c r="P158"/>
  <c r="Q158"/>
  <c r="O159"/>
  <c r="O158" s="1"/>
  <c r="N162"/>
  <c r="O162"/>
  <c r="P162"/>
  <c r="Q162"/>
  <c r="R162"/>
  <c r="R154" s="1"/>
  <c r="N164"/>
  <c r="O164"/>
  <c r="P164"/>
  <c r="Q164"/>
  <c r="N166"/>
  <c r="O166"/>
  <c r="P166"/>
  <c r="Q166"/>
  <c r="N168"/>
  <c r="O168"/>
  <c r="P168"/>
  <c r="Q168"/>
  <c r="H171"/>
  <c r="I171"/>
  <c r="J171"/>
  <c r="L171"/>
  <c r="M171"/>
  <c r="P171"/>
  <c r="Q171"/>
  <c r="R171"/>
  <c r="G172"/>
  <c r="G171" s="1"/>
  <c r="S172"/>
  <c r="O174"/>
  <c r="O171" s="1"/>
  <c r="S174"/>
  <c r="K175"/>
  <c r="K171" s="1"/>
  <c r="S175"/>
  <c r="G178"/>
  <c r="H178"/>
  <c r="I178"/>
  <c r="J178"/>
  <c r="K178"/>
  <c r="S178"/>
  <c r="P180"/>
  <c r="Q180"/>
  <c r="R180"/>
  <c r="G182"/>
  <c r="H182"/>
  <c r="I182"/>
  <c r="J182"/>
  <c r="K182"/>
  <c r="P182"/>
  <c r="Q182"/>
  <c r="S182"/>
  <c r="O183"/>
  <c r="O182" s="1"/>
  <c r="R184"/>
  <c r="G186"/>
  <c r="H186"/>
  <c r="I186"/>
  <c r="J186"/>
  <c r="K186"/>
  <c r="L186"/>
  <c r="M186"/>
  <c r="M170" s="1"/>
  <c r="O186"/>
  <c r="P186"/>
  <c r="Q186"/>
  <c r="P189"/>
  <c r="Q189"/>
  <c r="N191"/>
  <c r="N170" s="1"/>
  <c r="O191"/>
  <c r="P191"/>
  <c r="Q191"/>
  <c r="R191"/>
  <c r="P193"/>
  <c r="Q193"/>
  <c r="R195"/>
  <c r="G198"/>
  <c r="H198"/>
  <c r="I198"/>
  <c r="M198"/>
  <c r="P199"/>
  <c r="P198" s="1"/>
  <c r="P197" s="1"/>
  <c r="Q199"/>
  <c r="J201"/>
  <c r="J198" s="1"/>
  <c r="K201"/>
  <c r="K198" s="1"/>
  <c r="L201"/>
  <c r="L198" s="1"/>
  <c r="L197" s="1"/>
  <c r="N203"/>
  <c r="N198" s="1"/>
  <c r="N197" s="1"/>
  <c r="O203"/>
  <c r="O198" s="1"/>
  <c r="O197" s="1"/>
  <c r="P203"/>
  <c r="Q203"/>
  <c r="R205"/>
  <c r="R198" s="1"/>
  <c r="R197" s="1"/>
  <c r="G207"/>
  <c r="H207"/>
  <c r="I207"/>
  <c r="J207"/>
  <c r="K207"/>
  <c r="N207"/>
  <c r="O207"/>
  <c r="P207"/>
  <c r="Q207"/>
  <c r="L208"/>
  <c r="L207" s="1"/>
  <c r="M208"/>
  <c r="M207" s="1"/>
  <c r="G212"/>
  <c r="G211" s="1"/>
  <c r="G210" s="1"/>
  <c r="H212"/>
  <c r="H211" s="1"/>
  <c r="H210" s="1"/>
  <c r="I212"/>
  <c r="I211" s="1"/>
  <c r="I210" s="1"/>
  <c r="J212"/>
  <c r="J211" s="1"/>
  <c r="J210" s="1"/>
  <c r="K212"/>
  <c r="K211" s="1"/>
  <c r="K210" s="1"/>
  <c r="L212"/>
  <c r="L211" s="1"/>
  <c r="L210" s="1"/>
  <c r="M212"/>
  <c r="M211" s="1"/>
  <c r="M210" s="1"/>
  <c r="N212"/>
  <c r="N211" s="1"/>
  <c r="N210" s="1"/>
  <c r="O212"/>
  <c r="O211" s="1"/>
  <c r="O210" s="1"/>
  <c r="P212"/>
  <c r="P211" s="1"/>
  <c r="P210" s="1"/>
  <c r="Q212"/>
  <c r="Q211" s="1"/>
  <c r="Q210" s="1"/>
  <c r="G216"/>
  <c r="H216"/>
  <c r="I216"/>
  <c r="J216"/>
  <c r="K216"/>
  <c r="L216"/>
  <c r="M216"/>
  <c r="J219"/>
  <c r="L219"/>
  <c r="L218" s="1"/>
  <c r="N219"/>
  <c r="N218" s="1"/>
  <c r="P219"/>
  <c r="G220"/>
  <c r="S220"/>
  <c r="G221"/>
  <c r="O221"/>
  <c r="Q221"/>
  <c r="S221"/>
  <c r="S222"/>
  <c r="G223"/>
  <c r="G219" s="1"/>
  <c r="H223"/>
  <c r="H219" s="1"/>
  <c r="I223"/>
  <c r="K223"/>
  <c r="M223"/>
  <c r="O223"/>
  <c r="Q223"/>
  <c r="R223"/>
  <c r="R219" s="1"/>
  <c r="S223"/>
  <c r="M224"/>
  <c r="O224"/>
  <c r="Q224"/>
  <c r="S224"/>
  <c r="I225"/>
  <c r="K225"/>
  <c r="O225"/>
  <c r="Q225"/>
  <c r="Q219" s="1"/>
  <c r="Q218" s="1"/>
  <c r="S225"/>
  <c r="I227"/>
  <c r="K227"/>
  <c r="P227"/>
  <c r="R227"/>
  <c r="O228"/>
  <c r="Q228"/>
  <c r="Q227" s="1"/>
  <c r="S228"/>
  <c r="S227" s="1"/>
  <c r="G229"/>
  <c r="G227" s="1"/>
  <c r="H229"/>
  <c r="H227" s="1"/>
  <c r="J229"/>
  <c r="J227" s="1"/>
  <c r="O229"/>
  <c r="S229"/>
  <c r="G230"/>
  <c r="H230"/>
  <c r="I230"/>
  <c r="J230"/>
  <c r="K230"/>
  <c r="L230"/>
  <c r="M230"/>
  <c r="N230"/>
  <c r="O230"/>
  <c r="P230"/>
  <c r="Q230"/>
  <c r="J233"/>
  <c r="K233"/>
  <c r="L233"/>
  <c r="M233"/>
  <c r="N233"/>
  <c r="O233"/>
  <c r="P233"/>
  <c r="Q233"/>
  <c r="J235"/>
  <c r="K235"/>
  <c r="L235"/>
  <c r="M235"/>
  <c r="N235"/>
  <c r="O235"/>
  <c r="P235"/>
  <c r="Q235"/>
  <c r="M237"/>
  <c r="N237"/>
  <c r="O237"/>
  <c r="P237"/>
  <c r="Q237"/>
  <c r="G239"/>
  <c r="H239"/>
  <c r="I239"/>
  <c r="J239"/>
  <c r="K239"/>
  <c r="L239"/>
  <c r="M239"/>
  <c r="N239"/>
  <c r="O239"/>
  <c r="P239"/>
  <c r="Q239"/>
  <c r="P242"/>
  <c r="Q242"/>
  <c r="R245"/>
  <c r="L251"/>
  <c r="R251"/>
  <c r="G253"/>
  <c r="K253"/>
  <c r="M253"/>
  <c r="O253"/>
  <c r="Q253"/>
  <c r="S253"/>
  <c r="I254"/>
  <c r="K254"/>
  <c r="M254"/>
  <c r="O254"/>
  <c r="P254"/>
  <c r="P251" s="1"/>
  <c r="S254"/>
  <c r="G255"/>
  <c r="G251" s="1"/>
  <c r="H255"/>
  <c r="H251" s="1"/>
  <c r="I255"/>
  <c r="I251" s="1"/>
  <c r="J255"/>
  <c r="J251" s="1"/>
  <c r="K255"/>
  <c r="M255"/>
  <c r="O255"/>
  <c r="Q255"/>
  <c r="S255"/>
  <c r="M256"/>
  <c r="O256"/>
  <c r="Q256"/>
  <c r="S256"/>
  <c r="K257"/>
  <c r="M257"/>
  <c r="M251" s="1"/>
  <c r="O257"/>
  <c r="Q257"/>
  <c r="S257"/>
  <c r="I258"/>
  <c r="K258"/>
  <c r="L258"/>
  <c r="N258"/>
  <c r="P258"/>
  <c r="R258"/>
  <c r="Q259"/>
  <c r="O261"/>
  <c r="Q261"/>
  <c r="Q258" s="1"/>
  <c r="S261"/>
  <c r="G262"/>
  <c r="G258" s="1"/>
  <c r="H262"/>
  <c r="H258" s="1"/>
  <c r="J262"/>
  <c r="J258" s="1"/>
  <c r="M262"/>
  <c r="M258" s="1"/>
  <c r="O262"/>
  <c r="Q262"/>
  <c r="S262"/>
  <c r="J263"/>
  <c r="I267"/>
  <c r="J267"/>
  <c r="L267"/>
  <c r="P267"/>
  <c r="R267"/>
  <c r="G268"/>
  <c r="K268"/>
  <c r="S268"/>
  <c r="G269"/>
  <c r="O269"/>
  <c r="S269"/>
  <c r="S270"/>
  <c r="G271"/>
  <c r="H271"/>
  <c r="H267" s="1"/>
  <c r="K271"/>
  <c r="M271"/>
  <c r="O271"/>
  <c r="S271"/>
  <c r="O272"/>
  <c r="M273"/>
  <c r="Q273"/>
  <c r="Q267" s="1"/>
  <c r="Q266" s="1"/>
  <c r="S273"/>
  <c r="K274"/>
  <c r="M274"/>
  <c r="O274"/>
  <c r="S274"/>
  <c r="H275"/>
  <c r="H266" s="1"/>
  <c r="I275"/>
  <c r="J275"/>
  <c r="K275"/>
  <c r="L275"/>
  <c r="L266" s="1"/>
  <c r="M275"/>
  <c r="N275"/>
  <c r="O275"/>
  <c r="P275"/>
  <c r="Q275"/>
  <c r="R275"/>
  <c r="G276"/>
  <c r="S276"/>
  <c r="S275" s="1"/>
  <c r="G277"/>
  <c r="J280"/>
  <c r="K280"/>
  <c r="L280"/>
  <c r="M280"/>
  <c r="R280"/>
  <c r="G281"/>
  <c r="H281"/>
  <c r="H280" s="1"/>
  <c r="I281"/>
  <c r="G283"/>
  <c r="H283"/>
  <c r="I283"/>
  <c r="Q285"/>
  <c r="G287"/>
  <c r="H287"/>
  <c r="I287"/>
  <c r="L287"/>
  <c r="P287"/>
  <c r="S287"/>
  <c r="J288"/>
  <c r="J287" s="1"/>
  <c r="R288"/>
  <c r="R287" s="1"/>
  <c r="K289"/>
  <c r="M289"/>
  <c r="Q289"/>
  <c r="M290"/>
  <c r="K291"/>
  <c r="M291"/>
  <c r="Q291"/>
  <c r="O292"/>
  <c r="Q292"/>
  <c r="M293"/>
  <c r="O293"/>
  <c r="Q293"/>
  <c r="G295"/>
  <c r="H295"/>
  <c r="I295"/>
  <c r="J295"/>
  <c r="K295"/>
  <c r="L295"/>
  <c r="M295"/>
  <c r="O295"/>
  <c r="P295"/>
  <c r="Q295"/>
  <c r="R296"/>
  <c r="R295" s="1"/>
  <c r="S296"/>
  <c r="S295" s="1"/>
  <c r="G298"/>
  <c r="H298"/>
  <c r="I298"/>
  <c r="J298"/>
  <c r="K298"/>
  <c r="L298"/>
  <c r="M298"/>
  <c r="O298"/>
  <c r="Q298"/>
  <c r="P299"/>
  <c r="P298" s="1"/>
  <c r="R299"/>
  <c r="R298" s="1"/>
  <c r="S299"/>
  <c r="R300"/>
  <c r="S300"/>
  <c r="G301"/>
  <c r="H301"/>
  <c r="I301"/>
  <c r="J301"/>
  <c r="K301"/>
  <c r="L301"/>
  <c r="O301"/>
  <c r="P301"/>
  <c r="Q301"/>
  <c r="R301"/>
  <c r="M302"/>
  <c r="M301" s="1"/>
  <c r="H304"/>
  <c r="I304"/>
  <c r="J304"/>
  <c r="K304"/>
  <c r="L304"/>
  <c r="M304"/>
  <c r="N304"/>
  <c r="N248" s="1"/>
  <c r="O304"/>
  <c r="P304"/>
  <c r="R304"/>
  <c r="G305"/>
  <c r="G306"/>
  <c r="Q306"/>
  <c r="S306"/>
  <c r="Q308"/>
  <c r="S308"/>
  <c r="S309"/>
  <c r="S310"/>
  <c r="J311"/>
  <c r="K311"/>
  <c r="L311"/>
  <c r="M311"/>
  <c r="G314"/>
  <c r="H314"/>
  <c r="I314"/>
  <c r="K314"/>
  <c r="J315"/>
  <c r="K315"/>
  <c r="L315"/>
  <c r="M315"/>
  <c r="J318"/>
  <c r="K318"/>
  <c r="L318"/>
  <c r="M318"/>
  <c r="Q322"/>
  <c r="P324"/>
  <c r="P322" s="1"/>
  <c r="R325"/>
  <c r="N328"/>
  <c r="G329"/>
  <c r="H329"/>
  <c r="I329"/>
  <c r="J329"/>
  <c r="K329"/>
  <c r="L329"/>
  <c r="O329"/>
  <c r="P329"/>
  <c r="Q329"/>
  <c r="M330"/>
  <c r="M331"/>
  <c r="G332"/>
  <c r="I332"/>
  <c r="J332"/>
  <c r="K332"/>
  <c r="L332"/>
  <c r="P332"/>
  <c r="Q332"/>
  <c r="R332"/>
  <c r="S332"/>
  <c r="H334"/>
  <c r="H332" s="1"/>
  <c r="M334"/>
  <c r="M332" s="1"/>
  <c r="O334"/>
  <c r="O332" s="1"/>
  <c r="G335"/>
  <c r="H335"/>
  <c r="I335"/>
  <c r="J335"/>
  <c r="K335"/>
  <c r="L335"/>
  <c r="M336"/>
  <c r="M335" s="1"/>
  <c r="O336"/>
  <c r="Q336"/>
  <c r="O337"/>
  <c r="Q337"/>
  <c r="G339"/>
  <c r="H339"/>
  <c r="I339"/>
  <c r="J339"/>
  <c r="K339"/>
  <c r="L339"/>
  <c r="M340"/>
  <c r="M339" s="1"/>
  <c r="O340"/>
  <c r="Q340"/>
  <c r="O341"/>
  <c r="Q341"/>
  <c r="J343"/>
  <c r="K343"/>
  <c r="L343"/>
  <c r="M343"/>
  <c r="J345"/>
  <c r="K345"/>
  <c r="P345"/>
  <c r="H347"/>
  <c r="I347"/>
  <c r="I328" s="1"/>
  <c r="J347"/>
  <c r="K347"/>
  <c r="L347"/>
  <c r="M347"/>
  <c r="O347"/>
  <c r="S347"/>
  <c r="S328" s="1"/>
  <c r="G349"/>
  <c r="G347" s="1"/>
  <c r="M351"/>
  <c r="P353"/>
  <c r="Q353"/>
  <c r="R355"/>
  <c r="N357"/>
  <c r="P358"/>
  <c r="R358"/>
  <c r="H359"/>
  <c r="H358" s="1"/>
  <c r="I359"/>
  <c r="I358" s="1"/>
  <c r="J359"/>
  <c r="J358" s="1"/>
  <c r="L359"/>
  <c r="L358" s="1"/>
  <c r="M359"/>
  <c r="M358" s="1"/>
  <c r="P359"/>
  <c r="R359"/>
  <c r="G360"/>
  <c r="S360"/>
  <c r="Q361"/>
  <c r="S361"/>
  <c r="S362"/>
  <c r="G363"/>
  <c r="K363"/>
  <c r="K359" s="1"/>
  <c r="K358" s="1"/>
  <c r="O363"/>
  <c r="Q363"/>
  <c r="S363"/>
  <c r="O365"/>
  <c r="Q365"/>
  <c r="G366"/>
  <c r="H366"/>
  <c r="I366"/>
  <c r="O366"/>
  <c r="H369"/>
  <c r="H368" s="1"/>
  <c r="I369"/>
  <c r="I368" s="1"/>
  <c r="J369"/>
  <c r="J368" s="1"/>
  <c r="K369"/>
  <c r="K368" s="1"/>
  <c r="L369"/>
  <c r="L368" s="1"/>
  <c r="N369"/>
  <c r="P369"/>
  <c r="P368" s="1"/>
  <c r="R369"/>
  <c r="R368" s="1"/>
  <c r="G370"/>
  <c r="G371"/>
  <c r="M371"/>
  <c r="Q371"/>
  <c r="S371"/>
  <c r="S372"/>
  <c r="G373"/>
  <c r="M373"/>
  <c r="O373"/>
  <c r="S373"/>
  <c r="M374"/>
  <c r="O374"/>
  <c r="Q374"/>
  <c r="S374"/>
  <c r="M375"/>
  <c r="S375"/>
  <c r="P376"/>
  <c r="Q376"/>
  <c r="G378"/>
  <c r="H378"/>
  <c r="I378"/>
  <c r="K378"/>
  <c r="R380"/>
  <c r="S380"/>
  <c r="R384"/>
  <c r="I388"/>
  <c r="I386" s="1"/>
  <c r="J388"/>
  <c r="J386" s="1"/>
  <c r="K388"/>
  <c r="K386" s="1"/>
  <c r="L388"/>
  <c r="L386" s="1"/>
  <c r="N388"/>
  <c r="R388"/>
  <c r="R386" s="1"/>
  <c r="G389"/>
  <c r="H389"/>
  <c r="S389"/>
  <c r="G390"/>
  <c r="Q391"/>
  <c r="G392"/>
  <c r="H392"/>
  <c r="M392"/>
  <c r="M388" s="1"/>
  <c r="M386" s="1"/>
  <c r="O392"/>
  <c r="O388" s="1"/>
  <c r="O386" s="1"/>
  <c r="P392"/>
  <c r="Q392"/>
  <c r="S392"/>
  <c r="S388" s="1"/>
  <c r="S386" s="1"/>
  <c r="P394"/>
  <c r="I396"/>
  <c r="I395" s="1"/>
  <c r="J396"/>
  <c r="J395" s="1"/>
  <c r="K396"/>
  <c r="K395" s="1"/>
  <c r="M396"/>
  <c r="M395" s="1"/>
  <c r="N396"/>
  <c r="N395" s="1"/>
  <c r="O396"/>
  <c r="O395" s="1"/>
  <c r="P396"/>
  <c r="P395" s="1"/>
  <c r="Q396"/>
  <c r="Q395" s="1"/>
  <c r="R396"/>
  <c r="R395" s="1"/>
  <c r="G397"/>
  <c r="S397"/>
  <c r="G398"/>
  <c r="G396" s="1"/>
  <c r="G395" s="1"/>
  <c r="S398"/>
  <c r="H400"/>
  <c r="H396" s="1"/>
  <c r="H395" s="1"/>
  <c r="L400"/>
  <c r="L396" s="1"/>
  <c r="L395" s="1"/>
  <c r="S400"/>
  <c r="P403"/>
  <c r="Q403"/>
  <c r="Q406"/>
  <c r="P407"/>
  <c r="P406" s="1"/>
  <c r="R408"/>
  <c r="R411"/>
  <c r="G414"/>
  <c r="G413" s="1"/>
  <c r="I414"/>
  <c r="I413" s="1"/>
  <c r="J414"/>
  <c r="J413" s="1"/>
  <c r="K414"/>
  <c r="K413" s="1"/>
  <c r="L414"/>
  <c r="L413" s="1"/>
  <c r="M414"/>
  <c r="M413" s="1"/>
  <c r="N414"/>
  <c r="N413" s="1"/>
  <c r="O414"/>
  <c r="O413" s="1"/>
  <c r="P414"/>
  <c r="P413" s="1"/>
  <c r="Q414"/>
  <c r="Q413" s="1"/>
  <c r="H415"/>
  <c r="H414" s="1"/>
  <c r="H413" s="1"/>
  <c r="G418"/>
  <c r="G417" s="1"/>
  <c r="H418"/>
  <c r="H417" s="1"/>
  <c r="I418"/>
  <c r="I417" s="1"/>
  <c r="J418"/>
  <c r="J417" s="1"/>
  <c r="K418"/>
  <c r="K417" s="1"/>
  <c r="L418"/>
  <c r="L417" s="1"/>
  <c r="M418"/>
  <c r="M417" s="1"/>
  <c r="N418"/>
  <c r="N417" s="1"/>
  <c r="O418"/>
  <c r="O417" s="1"/>
  <c r="P418"/>
  <c r="P417" s="1"/>
  <c r="Q418"/>
  <c r="Q417" s="1"/>
  <c r="N421"/>
  <c r="O421"/>
  <c r="P421"/>
  <c r="Q421"/>
  <c r="R422"/>
  <c r="G423"/>
  <c r="G420" s="1"/>
  <c r="H423"/>
  <c r="H420" s="1"/>
  <c r="I423"/>
  <c r="I420" s="1"/>
  <c r="J423"/>
  <c r="J420" s="1"/>
  <c r="K423"/>
  <c r="K420" s="1"/>
  <c r="L423"/>
  <c r="L420" s="1"/>
  <c r="M423"/>
  <c r="M420" s="1"/>
  <c r="N423"/>
  <c r="P423"/>
  <c r="Q423"/>
  <c r="R423"/>
  <c r="R420" s="1"/>
  <c r="S423"/>
  <c r="S420" s="1"/>
  <c r="O424"/>
  <c r="O423" s="1"/>
  <c r="N426"/>
  <c r="O426"/>
  <c r="P426"/>
  <c r="Q426"/>
  <c r="O428"/>
  <c r="P428"/>
  <c r="Q428"/>
  <c r="G431"/>
  <c r="H431"/>
  <c r="I431"/>
  <c r="J431"/>
  <c r="K431"/>
  <c r="L431"/>
  <c r="M431"/>
  <c r="N431"/>
  <c r="O431"/>
  <c r="P431"/>
  <c r="Q431"/>
  <c r="R431"/>
  <c r="G434"/>
  <c r="H434"/>
  <c r="I434"/>
  <c r="J434"/>
  <c r="K434"/>
  <c r="L434"/>
  <c r="M434"/>
  <c r="N434"/>
  <c r="O434"/>
  <c r="P434"/>
  <c r="Q436"/>
  <c r="Q438"/>
  <c r="G439"/>
  <c r="H439"/>
  <c r="I439"/>
  <c r="J439"/>
  <c r="K439"/>
  <c r="L439"/>
  <c r="M439"/>
  <c r="N439"/>
  <c r="O439"/>
  <c r="P439"/>
  <c r="Q439"/>
  <c r="R439"/>
  <c r="G442"/>
  <c r="H442"/>
  <c r="I442"/>
  <c r="J442"/>
  <c r="K442"/>
  <c r="L442"/>
  <c r="M442"/>
  <c r="O442"/>
  <c r="P442"/>
  <c r="Q442"/>
  <c r="N443"/>
  <c r="N442" s="1"/>
  <c r="G444"/>
  <c r="H444"/>
  <c r="I444"/>
  <c r="J444"/>
  <c r="K444"/>
  <c r="L444"/>
  <c r="N444"/>
  <c r="O444"/>
  <c r="P444"/>
  <c r="Q444"/>
  <c r="R444"/>
  <c r="M445"/>
  <c r="M446"/>
  <c r="G447"/>
  <c r="H447"/>
  <c r="I447"/>
  <c r="J447"/>
  <c r="K447"/>
  <c r="L447"/>
  <c r="M447"/>
  <c r="N447"/>
  <c r="O447"/>
  <c r="P447"/>
  <c r="Q447"/>
  <c r="R447"/>
  <c r="G449"/>
  <c r="H449"/>
  <c r="I449"/>
  <c r="K449"/>
  <c r="L449"/>
  <c r="M449"/>
  <c r="N449"/>
  <c r="O449"/>
  <c r="P449"/>
  <c r="Q449"/>
  <c r="S449"/>
  <c r="J450"/>
  <c r="J449" s="1"/>
  <c r="R450"/>
  <c r="R451"/>
  <c r="G452"/>
  <c r="H452"/>
  <c r="I452"/>
  <c r="J452"/>
  <c r="K452"/>
  <c r="L452"/>
  <c r="M452"/>
  <c r="N452"/>
  <c r="O452"/>
  <c r="P452"/>
  <c r="Q452"/>
  <c r="G454"/>
  <c r="H454"/>
  <c r="I454"/>
  <c r="J454"/>
  <c r="K454"/>
  <c r="L454"/>
  <c r="M454"/>
  <c r="N454"/>
  <c r="O454"/>
  <c r="P454"/>
  <c r="Q454"/>
  <c r="H456"/>
  <c r="I456"/>
  <c r="J456"/>
  <c r="K456"/>
  <c r="L456"/>
  <c r="M456"/>
  <c r="N456"/>
  <c r="O456"/>
  <c r="P456"/>
  <c r="Q456"/>
  <c r="R456"/>
  <c r="S456"/>
  <c r="G457"/>
  <c r="G456" s="1"/>
  <c r="H462"/>
  <c r="I462"/>
  <c r="J462"/>
  <c r="K462"/>
  <c r="L462"/>
  <c r="M462"/>
  <c r="N462"/>
  <c r="O462"/>
  <c r="P462"/>
  <c r="Q462"/>
  <c r="G463"/>
  <c r="G462" s="1"/>
  <c r="H466"/>
  <c r="I466"/>
  <c r="J466"/>
  <c r="K466"/>
  <c r="L466"/>
  <c r="M466"/>
  <c r="N466"/>
  <c r="O466"/>
  <c r="P466"/>
  <c r="Q466"/>
  <c r="S466"/>
  <c r="S461" s="1"/>
  <c r="G467"/>
  <c r="G466" s="1"/>
  <c r="H471"/>
  <c r="I471"/>
  <c r="J471"/>
  <c r="K471"/>
  <c r="L471"/>
  <c r="M471"/>
  <c r="N471"/>
  <c r="O471"/>
  <c r="P471"/>
  <c r="Q471"/>
  <c r="R471"/>
  <c r="G472"/>
  <c r="G471" s="1"/>
  <c r="N474"/>
  <c r="G475"/>
  <c r="G474" s="1"/>
  <c r="H475"/>
  <c r="H474" s="1"/>
  <c r="I475"/>
  <c r="I474" s="1"/>
  <c r="J475"/>
  <c r="J474" s="1"/>
  <c r="L475"/>
  <c r="L474" s="1"/>
  <c r="P475"/>
  <c r="P474" s="1"/>
  <c r="Q475"/>
  <c r="Q474" s="1"/>
  <c r="R475"/>
  <c r="R474" s="1"/>
  <c r="M476"/>
  <c r="K478"/>
  <c r="M478"/>
  <c r="M475" s="1"/>
  <c r="M474" s="1"/>
  <c r="O478"/>
  <c r="O475" s="1"/>
  <c r="O474" s="1"/>
  <c r="K479"/>
  <c r="P482"/>
  <c r="P481" s="1"/>
  <c r="P480" s="1"/>
  <c r="Q482"/>
  <c r="Q481" s="1"/>
  <c r="Q480" s="1"/>
  <c r="G486"/>
  <c r="G485" s="1"/>
  <c r="H486"/>
  <c r="H485" s="1"/>
  <c r="I486"/>
  <c r="I485" s="1"/>
  <c r="J486"/>
  <c r="J485" s="1"/>
  <c r="K486"/>
  <c r="K485" s="1"/>
  <c r="L486"/>
  <c r="L485" s="1"/>
  <c r="M486"/>
  <c r="M485" s="1"/>
  <c r="N486"/>
  <c r="N485" s="1"/>
  <c r="O486"/>
  <c r="O485" s="1"/>
  <c r="P486"/>
  <c r="P485" s="1"/>
  <c r="Q486"/>
  <c r="Q485" s="1"/>
  <c r="G489"/>
  <c r="G488" s="1"/>
  <c r="H489"/>
  <c r="H488" s="1"/>
  <c r="I489"/>
  <c r="I488" s="1"/>
  <c r="J489"/>
  <c r="J488" s="1"/>
  <c r="K489"/>
  <c r="K488" s="1"/>
  <c r="L489"/>
  <c r="L488" s="1"/>
  <c r="M489"/>
  <c r="M488" s="1"/>
  <c r="N489"/>
  <c r="N488" s="1"/>
  <c r="O489"/>
  <c r="O488" s="1"/>
  <c r="P489"/>
  <c r="Q489"/>
  <c r="Q488" s="1"/>
  <c r="P491"/>
  <c r="R492"/>
  <c r="R491" s="1"/>
  <c r="R488" s="1"/>
  <c r="R484" s="1"/>
  <c r="G494"/>
  <c r="G493" s="1"/>
  <c r="H494"/>
  <c r="H493" s="1"/>
  <c r="I494"/>
  <c r="I493" s="1"/>
  <c r="J494"/>
  <c r="J493" s="1"/>
  <c r="K494"/>
  <c r="K493" s="1"/>
  <c r="L494"/>
  <c r="L493" s="1"/>
  <c r="M494"/>
  <c r="M493" s="1"/>
  <c r="N494"/>
  <c r="N493" s="1"/>
  <c r="O494"/>
  <c r="O493" s="1"/>
  <c r="P494"/>
  <c r="P493" s="1"/>
  <c r="Q494"/>
  <c r="Q493" s="1"/>
  <c r="R498"/>
  <c r="T498"/>
  <c r="T496"/>
  <c r="T494"/>
  <c r="T489"/>
  <c r="T486"/>
  <c r="T485" s="1"/>
  <c r="T482"/>
  <c r="T481" s="1"/>
  <c r="T480" s="1"/>
  <c r="T465"/>
  <c r="T464"/>
  <c r="T463"/>
  <c r="T454"/>
  <c r="T452"/>
  <c r="T447"/>
  <c r="T441"/>
  <c r="T440"/>
  <c r="T428"/>
  <c r="T426"/>
  <c r="T425"/>
  <c r="T423" s="1"/>
  <c r="T421"/>
  <c r="T418"/>
  <c r="T417" s="1"/>
  <c r="T414"/>
  <c r="T413" s="1"/>
  <c r="T411"/>
  <c r="T406"/>
  <c r="T384"/>
  <c r="T380"/>
  <c r="T378"/>
  <c r="T376"/>
  <c r="T367"/>
  <c r="T366" s="1"/>
  <c r="T355"/>
  <c r="T353"/>
  <c r="T351"/>
  <c r="T345"/>
  <c r="T343"/>
  <c r="T342"/>
  <c r="T340"/>
  <c r="T336"/>
  <c r="T333"/>
  <c r="T321"/>
  <c r="T314" s="1"/>
  <c r="T286"/>
  <c r="T285" s="1"/>
  <c r="T283"/>
  <c r="T281"/>
  <c r="T237"/>
  <c r="T235"/>
  <c r="T233"/>
  <c r="T217"/>
  <c r="T216" s="1"/>
  <c r="T212"/>
  <c r="T211" s="1"/>
  <c r="T210" s="1"/>
  <c r="T208"/>
  <c r="T207" s="1"/>
  <c r="T205"/>
  <c r="T203"/>
  <c r="T201"/>
  <c r="T199"/>
  <c r="T195"/>
  <c r="T193"/>
  <c r="T191"/>
  <c r="T189"/>
  <c r="T184"/>
  <c r="T181"/>
  <c r="T180" s="1"/>
  <c r="T178"/>
  <c r="T166"/>
  <c r="T164"/>
  <c r="T162"/>
  <c r="T157"/>
  <c r="T156"/>
  <c r="T152"/>
  <c r="T149"/>
  <c r="T148" s="1"/>
  <c r="T146"/>
  <c r="T134"/>
  <c r="T132"/>
  <c r="T130"/>
  <c r="T128"/>
  <c r="T126"/>
  <c r="T124"/>
  <c r="T122"/>
  <c r="T120"/>
  <c r="T118"/>
  <c r="T116"/>
  <c r="T114"/>
  <c r="T113" s="1"/>
  <c r="T112"/>
  <c r="T111"/>
  <c r="T110"/>
  <c r="T104"/>
  <c r="T103" s="1"/>
  <c r="T101"/>
  <c r="T100" s="1"/>
  <c r="T99"/>
  <c r="T98" s="1"/>
  <c r="T97" s="1"/>
  <c r="T95"/>
  <c r="T94" s="1"/>
  <c r="T92"/>
  <c r="T91" s="1"/>
  <c r="T90" s="1"/>
  <c r="T88"/>
  <c r="T86"/>
  <c r="T84"/>
  <c r="T79"/>
  <c r="T78"/>
  <c r="T71"/>
  <c r="T70" s="1"/>
  <c r="T68"/>
  <c r="T67"/>
  <c r="T66"/>
  <c r="T64"/>
  <c r="T56"/>
  <c r="T49"/>
  <c r="T47"/>
  <c r="T43"/>
  <c r="T41"/>
  <c r="T33"/>
  <c r="T32"/>
  <c r="T31" s="1"/>
  <c r="T30"/>
  <c r="T29" s="1"/>
  <c r="T18"/>
  <c r="F146" i="5"/>
  <c r="F141"/>
  <c r="F143"/>
  <c r="F114"/>
  <c r="F136"/>
  <c r="F14"/>
  <c r="F13" s="1"/>
  <c r="F56"/>
  <c r="F46"/>
  <c r="F72"/>
  <c r="F65"/>
  <c r="F49" s="1"/>
  <c r="F62"/>
  <c r="F50"/>
  <c r="F21"/>
  <c r="J9" i="6"/>
  <c r="H9"/>
  <c r="E136" i="5"/>
  <c r="F120"/>
  <c r="E120"/>
  <c r="E114"/>
  <c r="E90" s="1"/>
  <c r="F98"/>
  <c r="F94" s="1"/>
  <c r="F91"/>
  <c r="F90" s="1"/>
  <c r="E91"/>
  <c r="C50"/>
  <c r="C49" s="1"/>
  <c r="E46"/>
  <c r="F41"/>
  <c r="E41"/>
  <c r="C41"/>
  <c r="F39"/>
  <c r="E39"/>
  <c r="C39"/>
  <c r="F37"/>
  <c r="E37"/>
  <c r="C34"/>
  <c r="E21"/>
  <c r="C21"/>
  <c r="E14"/>
  <c r="C14"/>
  <c r="C12"/>
  <c r="O335" i="7" l="1"/>
  <c r="M250"/>
  <c r="N154"/>
  <c r="Q388"/>
  <c r="Q386" s="1"/>
  <c r="G369"/>
  <c r="G368" s="1"/>
  <c r="J266"/>
  <c r="K219"/>
  <c r="K218" s="1"/>
  <c r="I115"/>
  <c r="R449"/>
  <c r="O420"/>
  <c r="G328"/>
  <c r="G304"/>
  <c r="T491"/>
  <c r="P488"/>
  <c r="S396"/>
  <c r="S395" s="1"/>
  <c r="S382" s="1"/>
  <c r="Q369"/>
  <c r="Q368" s="1"/>
  <c r="K328"/>
  <c r="O107"/>
  <c r="Q107"/>
  <c r="M444"/>
  <c r="Q304"/>
  <c r="J170"/>
  <c r="P154"/>
  <c r="R115"/>
  <c r="M107"/>
  <c r="I107"/>
  <c r="T155"/>
  <c r="K357"/>
  <c r="J197"/>
  <c r="H170"/>
  <c r="J107"/>
  <c r="K107"/>
  <c r="T245"/>
  <c r="T263"/>
  <c r="T318"/>
  <c r="T325"/>
  <c r="T462"/>
  <c r="T466"/>
  <c r="P461"/>
  <c r="L461"/>
  <c r="H461"/>
  <c r="P430"/>
  <c r="L430"/>
  <c r="H430"/>
  <c r="Q420"/>
  <c r="P388"/>
  <c r="P386" s="1"/>
  <c r="O369"/>
  <c r="O368" s="1"/>
  <c r="O358"/>
  <c r="S358"/>
  <c r="J328"/>
  <c r="S298"/>
  <c r="O294"/>
  <c r="J294"/>
  <c r="O287"/>
  <c r="I280"/>
  <c r="I266"/>
  <c r="M267"/>
  <c r="M266" s="1"/>
  <c r="M249" s="1"/>
  <c r="S267"/>
  <c r="P266"/>
  <c r="S258"/>
  <c r="O251"/>
  <c r="R250"/>
  <c r="S219"/>
  <c r="I219"/>
  <c r="I218" s="1"/>
  <c r="I215" s="1"/>
  <c r="M219"/>
  <c r="M218" s="1"/>
  <c r="M215" s="1"/>
  <c r="K197"/>
  <c r="I170"/>
  <c r="H115"/>
  <c r="G141"/>
  <c r="P115"/>
  <c r="L115"/>
  <c r="L107"/>
  <c r="H107"/>
  <c r="R20"/>
  <c r="Q461"/>
  <c r="M461"/>
  <c r="I461"/>
  <c r="I430"/>
  <c r="Q416"/>
  <c r="R382"/>
  <c r="N382"/>
  <c r="I382"/>
  <c r="G388"/>
  <c r="G386" s="1"/>
  <c r="R357"/>
  <c r="P328"/>
  <c r="K294"/>
  <c r="G294"/>
  <c r="K287"/>
  <c r="R266"/>
  <c r="Q251"/>
  <c r="O227"/>
  <c r="K215"/>
  <c r="L215"/>
  <c r="G197"/>
  <c r="P170"/>
  <c r="S171"/>
  <c r="S170" s="1"/>
  <c r="S106" s="1"/>
  <c r="M115"/>
  <c r="T298"/>
  <c r="T311"/>
  <c r="K475"/>
  <c r="K474" s="1"/>
  <c r="R461"/>
  <c r="N461"/>
  <c r="J461"/>
  <c r="Q434"/>
  <c r="Q430" s="1"/>
  <c r="N420"/>
  <c r="J382"/>
  <c r="H388"/>
  <c r="H386" s="1"/>
  <c r="S369"/>
  <c r="S368" s="1"/>
  <c r="G359"/>
  <c r="G358" s="1"/>
  <c r="S359"/>
  <c r="L328"/>
  <c r="Q328"/>
  <c r="M329"/>
  <c r="S304"/>
  <c r="Q294"/>
  <c r="L294"/>
  <c r="H294"/>
  <c r="M287"/>
  <c r="G280"/>
  <c r="G275"/>
  <c r="G266" s="1"/>
  <c r="O267"/>
  <c r="O266" s="1"/>
  <c r="G267"/>
  <c r="O258"/>
  <c r="K251"/>
  <c r="K250" s="1"/>
  <c r="S251"/>
  <c r="O219"/>
  <c r="R218"/>
  <c r="R215" s="1"/>
  <c r="N215"/>
  <c r="Q198"/>
  <c r="Q197" s="1"/>
  <c r="H197"/>
  <c r="Q170"/>
  <c r="L170"/>
  <c r="L106" s="1"/>
  <c r="Q154"/>
  <c r="O115"/>
  <c r="N115"/>
  <c r="J115"/>
  <c r="S58"/>
  <c r="R46"/>
  <c r="Q21"/>
  <c r="Q20" s="1"/>
  <c r="S21"/>
  <c r="S20" s="1"/>
  <c r="O461"/>
  <c r="K461"/>
  <c r="O430"/>
  <c r="K430"/>
  <c r="P420"/>
  <c r="L382"/>
  <c r="P382"/>
  <c r="M369"/>
  <c r="M368" s="1"/>
  <c r="Q358"/>
  <c r="M328"/>
  <c r="O339"/>
  <c r="R328"/>
  <c r="M294"/>
  <c r="I294"/>
  <c r="Q287"/>
  <c r="K267"/>
  <c r="I250"/>
  <c r="P250"/>
  <c r="L250"/>
  <c r="Q215"/>
  <c r="P218"/>
  <c r="P215" s="1"/>
  <c r="I197"/>
  <c r="R170"/>
  <c r="R106" s="1"/>
  <c r="O154"/>
  <c r="G115"/>
  <c r="K115"/>
  <c r="P107"/>
  <c r="O77"/>
  <c r="O46" s="1"/>
  <c r="O12" s="1"/>
  <c r="P20"/>
  <c r="Q46"/>
  <c r="K46"/>
  <c r="P46"/>
  <c r="L46"/>
  <c r="I46"/>
  <c r="J46"/>
  <c r="P484"/>
  <c r="L484"/>
  <c r="H484"/>
  <c r="L416"/>
  <c r="G382"/>
  <c r="Q382"/>
  <c r="M382"/>
  <c r="O357"/>
  <c r="S357"/>
  <c r="J357"/>
  <c r="P357"/>
  <c r="O328"/>
  <c r="S294"/>
  <c r="S266"/>
  <c r="J250"/>
  <c r="J249" s="1"/>
  <c r="J248" s="1"/>
  <c r="O250"/>
  <c r="O249" s="1"/>
  <c r="O248" s="1"/>
  <c r="R249"/>
  <c r="S218"/>
  <c r="S215" s="1"/>
  <c r="H218"/>
  <c r="H215" s="1"/>
  <c r="J218"/>
  <c r="J215" s="1"/>
  <c r="M197"/>
  <c r="O170"/>
  <c r="H106"/>
  <c r="Q93"/>
  <c r="M93"/>
  <c r="G46"/>
  <c r="R12"/>
  <c r="L12"/>
  <c r="Q484"/>
  <c r="M484"/>
  <c r="I484"/>
  <c r="J484"/>
  <c r="M430"/>
  <c r="M416" s="1"/>
  <c r="I416"/>
  <c r="L357"/>
  <c r="P294"/>
  <c r="G250"/>
  <c r="G249" s="1"/>
  <c r="G248" s="1"/>
  <c r="Q250"/>
  <c r="Q249" s="1"/>
  <c r="Q248" s="1"/>
  <c r="Q115"/>
  <c r="Q106" s="1"/>
  <c r="M106"/>
  <c r="I106"/>
  <c r="G93"/>
  <c r="N93"/>
  <c r="J93"/>
  <c r="H46"/>
  <c r="H12" s="1"/>
  <c r="I12"/>
  <c r="N484"/>
  <c r="R430"/>
  <c r="R416" s="1"/>
  <c r="N430"/>
  <c r="N416" s="1"/>
  <c r="J430"/>
  <c r="J416" s="1"/>
  <c r="S416"/>
  <c r="P416"/>
  <c r="H416"/>
  <c r="H382"/>
  <c r="O382"/>
  <c r="G357"/>
  <c r="M357"/>
  <c r="H357"/>
  <c r="H328"/>
  <c r="K266"/>
  <c r="K249" s="1"/>
  <c r="K248" s="1"/>
  <c r="K214" s="1"/>
  <c r="H250"/>
  <c r="H249" s="1"/>
  <c r="H248" s="1"/>
  <c r="S250"/>
  <c r="S249" s="1"/>
  <c r="O218"/>
  <c r="O215" s="1"/>
  <c r="O214" s="1"/>
  <c r="N214"/>
  <c r="K170"/>
  <c r="K106" s="1"/>
  <c r="G170"/>
  <c r="G106" s="1"/>
  <c r="N106"/>
  <c r="H93"/>
  <c r="O93"/>
  <c r="K93"/>
  <c r="M46"/>
  <c r="M12" s="1"/>
  <c r="J12"/>
  <c r="P12"/>
  <c r="O484"/>
  <c r="K484"/>
  <c r="G484"/>
  <c r="G461"/>
  <c r="G430"/>
  <c r="O416"/>
  <c r="K416"/>
  <c r="K382"/>
  <c r="Q357"/>
  <c r="I357"/>
  <c r="R294"/>
  <c r="I249"/>
  <c r="I248" s="1"/>
  <c r="P249"/>
  <c r="P248" s="1"/>
  <c r="P214" s="1"/>
  <c r="L249"/>
  <c r="L248" s="1"/>
  <c r="L214" s="1"/>
  <c r="G218"/>
  <c r="G215" s="1"/>
  <c r="J106"/>
  <c r="P106"/>
  <c r="I93"/>
  <c r="P93"/>
  <c r="L93"/>
  <c r="S46"/>
  <c r="S12" s="1"/>
  <c r="N46"/>
  <c r="N12" s="1"/>
  <c r="G12"/>
  <c r="K12"/>
  <c r="Q12"/>
  <c r="T93"/>
  <c r="T329"/>
  <c r="T408"/>
  <c r="T431"/>
  <c r="O359"/>
  <c r="T108"/>
  <c r="T107" s="1"/>
  <c r="T72"/>
  <c r="T77"/>
  <c r="T186"/>
  <c r="T403"/>
  <c r="T434"/>
  <c r="Q359"/>
  <c r="T171"/>
  <c r="T52"/>
  <c r="T63"/>
  <c r="T136"/>
  <c r="T141"/>
  <c r="T198"/>
  <c r="T197" s="1"/>
  <c r="T258"/>
  <c r="T267"/>
  <c r="T475"/>
  <c r="T474" s="1"/>
  <c r="T493"/>
  <c r="T230"/>
  <c r="T239"/>
  <c r="T275"/>
  <c r="T280"/>
  <c r="T287"/>
  <c r="T315"/>
  <c r="T347"/>
  <c r="T488"/>
  <c r="T15"/>
  <c r="T14" s="1"/>
  <c r="T13" s="1"/>
  <c r="T242"/>
  <c r="T295"/>
  <c r="T294" s="1"/>
  <c r="T322"/>
  <c r="T335"/>
  <c r="T339"/>
  <c r="T439"/>
  <c r="T21"/>
  <c r="T20" s="1"/>
  <c r="T227"/>
  <c r="T218" s="1"/>
  <c r="T304"/>
  <c r="T396"/>
  <c r="T395" s="1"/>
  <c r="T37"/>
  <c r="T154"/>
  <c r="T369"/>
  <c r="T368" s="1"/>
  <c r="T444"/>
  <c r="T251"/>
  <c r="T332"/>
  <c r="T420"/>
  <c r="T449"/>
  <c r="T58"/>
  <c r="T182"/>
  <c r="T301"/>
  <c r="T442"/>
  <c r="T456"/>
  <c r="T471"/>
  <c r="T388"/>
  <c r="T386" s="1"/>
  <c r="E13" i="5"/>
  <c r="E12" s="1"/>
  <c r="C13"/>
  <c r="T383" i="7" l="1"/>
  <c r="G416"/>
  <c r="S248"/>
  <c r="O106"/>
  <c r="G214"/>
  <c r="T484"/>
  <c r="M248"/>
  <c r="M214" s="1"/>
  <c r="M500" s="1"/>
  <c r="M11" s="1"/>
  <c r="T461"/>
  <c r="T170"/>
  <c r="J214"/>
  <c r="T328"/>
  <c r="T266"/>
  <c r="T115"/>
  <c r="I214"/>
  <c r="Q214"/>
  <c r="Q500" s="1"/>
  <c r="Q11" s="1"/>
  <c r="T215"/>
  <c r="T430"/>
  <c r="T46"/>
  <c r="T12" s="1"/>
  <c r="T250"/>
  <c r="H214"/>
  <c r="R248"/>
  <c r="R214" s="1"/>
  <c r="R500" s="1"/>
  <c r="P500"/>
  <c r="P11" s="1"/>
  <c r="O500"/>
  <c r="O11" s="1"/>
  <c r="S214"/>
  <c r="S500" s="1"/>
  <c r="L500"/>
  <c r="K500"/>
  <c r="K11" s="1"/>
  <c r="N500"/>
  <c r="N11" s="1"/>
  <c r="I500"/>
  <c r="I11" s="1"/>
  <c r="H500"/>
  <c r="H11" s="1"/>
  <c r="G500"/>
  <c r="G11" s="1"/>
  <c r="J500"/>
  <c r="J11" s="1"/>
  <c r="T359"/>
  <c r="T358" s="1"/>
  <c r="T357" s="1"/>
  <c r="T382"/>
  <c r="F12" i="5"/>
  <c r="F150" s="1"/>
  <c r="T416" i="7" l="1"/>
  <c r="T249"/>
  <c r="T248" s="1"/>
  <c r="T214" s="1"/>
  <c r="T106"/>
  <c r="L11"/>
  <c r="L503"/>
</calcChain>
</file>

<file path=xl/comments1.xml><?xml version="1.0" encoding="utf-8"?>
<comments xmlns="http://schemas.openxmlformats.org/spreadsheetml/2006/main">
  <authors>
    <author>мария</author>
    <author>Admin</author>
  </authors>
  <commentList>
    <comment ref="O45" authorId="0">
      <text>
        <r>
          <rPr>
            <b/>
            <sz val="8"/>
            <color indexed="81"/>
            <rFont val="Tahoma"/>
            <family val="2"/>
            <charset val="204"/>
          </rPr>
          <t>мария:</t>
        </r>
        <r>
          <rPr>
            <sz val="8"/>
            <color indexed="81"/>
            <rFont val="Tahoma"/>
            <family val="2"/>
            <charset val="204"/>
          </rPr>
          <t xml:space="preserve">
4887,36402 источники из Резервного фонда
</t>
        </r>
      </text>
    </comment>
    <comment ref="H59" authorId="0">
      <text>
        <r>
          <rPr>
            <b/>
            <sz val="8"/>
            <color indexed="81"/>
            <rFont val="Tahoma"/>
            <family val="2"/>
            <charset val="204"/>
          </rPr>
          <t>мария:</t>
        </r>
        <r>
          <rPr>
            <sz val="8"/>
            <color indexed="81"/>
            <rFont val="Tahoma"/>
            <family val="2"/>
            <charset val="204"/>
          </rPr>
          <t xml:space="preserve">
что это
</t>
        </r>
      </text>
    </comment>
    <comment ref="N71" authorId="0">
      <text>
        <r>
          <rPr>
            <b/>
            <sz val="8"/>
            <color indexed="81"/>
            <rFont val="Tahoma"/>
            <family val="2"/>
            <charset val="204"/>
          </rPr>
          <t>мария:</t>
        </r>
        <r>
          <rPr>
            <sz val="8"/>
            <color indexed="81"/>
            <rFont val="Tahoma"/>
            <family val="2"/>
            <charset val="204"/>
          </rPr>
          <t xml:space="preserve">
увед. 21/2 от 7.06.2012 на Анаму</t>
        </r>
      </text>
    </comment>
    <comment ref="N308" authorId="1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ув. 3-20 от 24.07.2012г. АДД</t>
        </r>
      </text>
    </comment>
    <comment ref="N433" authorId="0">
      <text>
        <r>
          <rPr>
            <b/>
            <sz val="8"/>
            <color indexed="81"/>
            <rFont val="Tahoma"/>
            <family val="2"/>
            <charset val="204"/>
          </rPr>
          <t>мария:</t>
        </r>
        <r>
          <rPr>
            <sz val="8"/>
            <color indexed="81"/>
            <rFont val="Tahoma"/>
            <family val="2"/>
            <charset val="204"/>
          </rPr>
          <t xml:space="preserve">
распределение Марина (почтовые выделять или нет)</t>
        </r>
      </text>
    </comment>
    <comment ref="N450" authorId="0">
      <text>
        <r>
          <rPr>
            <b/>
            <sz val="8"/>
            <color indexed="81"/>
            <rFont val="Tahoma"/>
            <family val="2"/>
            <charset val="204"/>
          </rPr>
          <t>мария:</t>
        </r>
        <r>
          <rPr>
            <sz val="8"/>
            <color indexed="81"/>
            <rFont val="Tahoma"/>
            <family val="2"/>
            <charset val="204"/>
          </rPr>
          <t xml:space="preserve">
ув 6/84 от 22.06.12г. Ежемесячное пособие (разбить Марине на почтовые)</t>
        </r>
      </text>
    </comment>
  </commentList>
</comments>
</file>

<file path=xl/sharedStrings.xml><?xml version="1.0" encoding="utf-8"?>
<sst xmlns="http://schemas.openxmlformats.org/spreadsheetml/2006/main" count="2937" uniqueCount="659">
  <si>
    <t>(тыс. руб.)</t>
  </si>
  <si>
    <t xml:space="preserve">Код </t>
  </si>
  <si>
    <t xml:space="preserve">Наименование </t>
  </si>
  <si>
    <t>Сумма</t>
  </si>
  <si>
    <t>Итого налоговые и неналоговые доходы</t>
  </si>
  <si>
    <t>Налоговые доходы</t>
  </si>
  <si>
    <t>1 01 00000 00 0000 000</t>
  </si>
  <si>
    <t>Налог на доходы физических лиц</t>
  </si>
  <si>
    <t>1 01 02010 01 0000 110</t>
  </si>
  <si>
    <t>1 01 02030 01 0000 110</t>
  </si>
  <si>
    <t>1 01 02040 01 0000 110</t>
  </si>
  <si>
    <t>1 01 02050 01 0000 110</t>
  </si>
  <si>
    <t>1 05 00000 00 0000 000</t>
  </si>
  <si>
    <t>Налог на совокупный доход</t>
  </si>
  <si>
    <t>1 05 01011 01 0000 110</t>
  </si>
  <si>
    <t>Налог, взимаемый  с налогоплательщиков, выбравших в качестве  объекта налогообложния доходы.</t>
  </si>
  <si>
    <t>1 05 01021 01 0000 110</t>
  </si>
  <si>
    <t>1 05 01022 01 0000 110</t>
  </si>
  <si>
    <t xml:space="preserve">1 05 01041 02 0000 110 </t>
  </si>
  <si>
    <t>Налог,взимаемый в виде стоимости патента в связи с применением упрощенной системы налогообложения</t>
  </si>
  <si>
    <t>1 05 01050 01 0000 110</t>
  </si>
  <si>
    <t>Минимальный налог,зачисляемый в бюджеты субъектов РФ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</si>
  <si>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</si>
  <si>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</si>
  <si>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</si>
  <si>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</si>
  <si>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1 06 00000 00 0000 000</t>
  </si>
  <si>
    <t>Налог на имущество</t>
  </si>
  <si>
    <t>1 06 01030 00 0000 110</t>
  </si>
  <si>
    <t>Налог на имущество с физических лиц</t>
  </si>
  <si>
    <t>1 06 05000 02 0000 110</t>
  </si>
  <si>
    <t>Налог на игорный бизнес</t>
  </si>
  <si>
    <t>1 06 06000 00 0000 110</t>
  </si>
  <si>
    <t xml:space="preserve">Земельный налог </t>
  </si>
  <si>
    <t>1 06 06023 00 0000 110</t>
  </si>
  <si>
    <t>1 07 00000 00 0000 000</t>
  </si>
  <si>
    <t>Налоги, сборы и регулярные платежи за польз.пр./рес.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</si>
  <si>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</si>
  <si>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</si>
  <si>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</si>
  <si>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</t>
  </si>
  <si>
    <t>1 08 03010 01 0000 110</t>
  </si>
  <si>
    <t>Государственная пошлина с исковых и иных заявлений и жалоб, подаваемых в суды общей юрисдикции</t>
  </si>
  <si>
    <t>1 08 04000 01 0000 110</t>
  </si>
  <si>
    <t>Госпошлина за совершение нотариальных действий</t>
  </si>
  <si>
    <t>1 08 07084 01 0000 110</t>
  </si>
  <si>
    <t xml:space="preserve">Государственная пошлина за совершение действий,связанных с лицензированием,с проведением аттестации в случаях,если такая аттестация предусмотрена законодательчтвом РФ, зачисляемая в бюджеты муниципальных районов </t>
  </si>
  <si>
    <t>1 09 00000 00 0000 000</t>
  </si>
  <si>
    <t>Задолженность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</si>
  <si>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</si>
  <si>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</si>
  <si>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</si>
  <si>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Дох.от сдачи в аренду имущества находящегося в оперативном управлении органов управления муниципальных районов и созданных ими учреждений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</si>
  <si>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</si>
  <si>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</si>
  <si>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</si>
  <si>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доходы от компенсации затрат бюджетов муниципальных районов </t>
  </si>
  <si>
    <t>1 14 02053 05 0000 410</t>
  </si>
  <si>
    <t>1 14 06013 10 0000 430</t>
  </si>
  <si>
    <t>Прочие неналоговые доходы</t>
  </si>
  <si>
    <t>2 00 00000 00 0000 000</t>
  </si>
  <si>
    <t>БЕЗВОЗМЕЗДНЫЕ ПОСТУПЛЕНИЯ</t>
  </si>
  <si>
    <t>2 02 01000 00 0000 151</t>
  </si>
  <si>
    <t xml:space="preserve">Дотации бюджетам субъектов Российской Федерации и муниципальных образований  </t>
  </si>
  <si>
    <t>2 02 01001 05 0000 151</t>
  </si>
  <si>
    <t>Дотации бюджетам муниципальных районов на выравнивание  бюджетной обеспеченности</t>
  </si>
  <si>
    <t>Дотация на поддержку мер по обеспечению сбалансированности местных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</si>
  <si>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</si>
  <si>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закупку автотранспортных средств на 2009 год</t>
  </si>
  <si>
    <t xml:space="preserve">Субсидии бюджетам муниципальных образований, выделяемых на текущий ремонт муниципальных образовательных учреждений за счет средств, выделенных из федерального бюджета на реализацию комплексного проекта модернизации образования  </t>
  </si>
  <si>
    <t>Субсидии на комплектование книжных фондов библиотек  мо из федерального бюджета</t>
  </si>
  <si>
    <t>Прочие субсидии</t>
  </si>
  <si>
    <t>в том числе:</t>
  </si>
  <si>
    <t xml:space="preserve">Субсидии бюджетам муниципальных образований (межбюджетные субсидии)на финансирование убытков предприятиям ЖКХ, в связи с установлением государственных регулируемых цен при оказании ЖКУ населению на 2009 год 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</si>
  <si>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2009 год.</t>
  </si>
  <si>
    <t>Субсидии на проведение капитального ремонта муниципальных учреждений на 2009 год</t>
  </si>
  <si>
    <t>Субсидии на финансирование расходов, связанных с финансированием убытков, связанных с госрегулированием тарифов на электроэнергию мун. вед. ДЭС</t>
  </si>
  <si>
    <t xml:space="preserve">Субсидия на организацию занятости, отдыха и оздоровления детей в летний период </t>
  </si>
  <si>
    <t>Субсидия на проведение мероприятий по патриотическому воспитанию молодежи</t>
  </si>
  <si>
    <t>Субсидии бюджетам муниципальных образований по государственной целевой программе подпрограммы "Развитие предпринимательства в Республике Саха (Якутия) на 2007-2011 годы</t>
  </si>
  <si>
    <t>Субсидии бюджетам муниципальных образований по государственной программе поддержки местного самоуправления на 2009-2011 годы на разработку документов территориального планирования муниципальных районов и генеральных планов населенных пунктов РС (Я) на 200</t>
  </si>
  <si>
    <t>Субсидии бюджетам муниципальных образований на обеспечение противопожарной и антитеррористической безопасности в муниципальных образовательных учреждениях РС (Я) в 2009 году</t>
  </si>
  <si>
    <t>Субсидии бюджетам муниципальных образований на обеспечение пожарной безопасности в муниципальных учреждениях здравоохранения РС (Я) на 2009 год</t>
  </si>
  <si>
    <t>Субсидии бюджетам муниципальных образований на обеспечение пожарной безопасности в муниципальных учреждениях культуры РС (Я) на 2009 год</t>
  </si>
  <si>
    <t>Субсидии бюджетам муниципальных образований по подпрограмме "Организация летнего отдыха, оздоровления и занятости детей" государственной целевой программе "Семья и дети РС (Я) на 2007-2011 гг." на перевозку детей к местам работы родителей, занятых в отрас</t>
  </si>
  <si>
    <t>Субсидии бюджетам муниципальных образований на реализацию Республиканской программы государственной поддержки месного самоуправления на 2009-2011 годы на целевую подготовку специалистов по составлению, исполнению бюджетов поселений и ведению бюджетного уч</t>
  </si>
  <si>
    <t>2 02 02000 05 0000 151</t>
  </si>
  <si>
    <t>2 02 02145 05 0000 151</t>
  </si>
  <si>
    <t>Субсидия на модернизацию региональной системы общего образования</t>
  </si>
  <si>
    <t>2 02 02999 05 0000 151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</si>
  <si>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</si>
  <si>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</si>
  <si>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</si>
  <si>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</si>
  <si>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</si>
  <si>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</si>
  <si>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2 02 03015 05 0000 151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</si>
  <si>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</si>
  <si>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</si>
  <si>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</si>
  <si>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</si>
  <si>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</si>
  <si>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2 02 03026 05 0000 151</t>
  </si>
  <si>
    <t>Субвенция на обеспечение жилыми помещениями детей-сирот и детей, оставшихся без попечения родителей, и лиц из их числа</t>
  </si>
  <si>
    <t>2 02 03027 05 7407 151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</si>
  <si>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</si>
  <si>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</si>
  <si>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</si>
  <si>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4 02 03055 05 0000 151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</si>
  <si>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</si>
  <si>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5 02 03055 05 0000 151</t>
  </si>
  <si>
    <t>6 02 03055 05 0000 151</t>
  </si>
  <si>
    <t>7 02 03055 05 0000 151</t>
  </si>
  <si>
    <t>8 02 03055 05 0000 151</t>
  </si>
  <si>
    <t>2 02 03055 05 6800 151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</si>
  <si>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средств Республиканского бюджета)</t>
  </si>
  <si>
    <t>2 02 04000 00 0000 151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</si>
  <si>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</si>
  <si>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</si>
  <si>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</si>
  <si>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</si>
  <si>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Наименование</t>
  </si>
  <si>
    <t>Ведомство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</si>
  <si>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</si>
  <si>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</si>
  <si>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</si>
  <si>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</si>
  <si>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</si>
  <si>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</si>
  <si>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</si>
  <si>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</si>
  <si>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</si>
  <si>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</si>
  <si>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</si>
  <si>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010</t>
  </si>
  <si>
    <t>02</t>
  </si>
  <si>
    <t>002 00 00</t>
  </si>
  <si>
    <t>Глава муниципального образования</t>
  </si>
  <si>
    <t xml:space="preserve">002 03 00 </t>
  </si>
  <si>
    <t>Фонд оплаты труда и страховые взносы</t>
  </si>
  <si>
    <t>002 03 00</t>
  </si>
  <si>
    <t>121</t>
  </si>
  <si>
    <t>Иные выплаты персоналу, за исключением фонда оплаты труда</t>
  </si>
  <si>
    <t>122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</si>
  <si>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</si>
  <si>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</si>
  <si>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</si>
  <si>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</si>
  <si>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002 04 90</t>
  </si>
  <si>
    <t>Закупка товаров,работ,услуг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</si>
  <si>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</si>
  <si>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</si>
  <si>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</si>
  <si>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 сполнение судебных актов РФ и мировых соглашений по возмещению вреда, причиненного в результате незаконных действий (бездействий) органов местного самоуправления,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</si>
  <si>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</si>
  <si>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</si>
  <si>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</si>
  <si>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</si>
  <si>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</si>
  <si>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05</t>
  </si>
  <si>
    <t>Составление (изменение и дополнение)списков кандидатов в присяжные заседатели федеральных судов общей юрисдикции в РФ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</si>
  <si>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</si>
  <si>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</si>
  <si>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</si>
  <si>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</si>
  <si>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</si>
  <si>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</si>
  <si>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</si>
  <si>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</si>
  <si>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</si>
  <si>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</si>
  <si>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</si>
  <si>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</si>
  <si>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>13</t>
  </si>
  <si>
    <t>Расходы на содержание органов государственной власти и органов местного самоуправления</t>
  </si>
  <si>
    <t>0020490</t>
  </si>
  <si>
    <t>Обеспечение деятельности подведомственных учреждений</t>
  </si>
  <si>
    <t>0939909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</si>
  <si>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</si>
  <si>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</si>
  <si>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муниципальным учреждениям на иные цели</t>
  </si>
  <si>
    <t>612</t>
  </si>
  <si>
    <t>9502301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</si>
  <si>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</si>
  <si>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9906130</t>
  </si>
  <si>
    <t>111</t>
  </si>
  <si>
    <t>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</si>
  <si>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9503501</t>
  </si>
  <si>
    <t>Осуществление отдельных государственных полномочий по организации деятельности  административных комиссий по расмотрению дел об административных правонарушениях</t>
  </si>
  <si>
    <t>9906120</t>
  </si>
  <si>
    <t>Целевые программы муниципальных образований</t>
  </si>
  <si>
    <t>7950000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</si>
  <si>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</si>
  <si>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</si>
  <si>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</si>
  <si>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001 36 00</t>
  </si>
  <si>
    <t>Субвенции</t>
  </si>
  <si>
    <t>530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</si>
  <si>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</si>
  <si>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</si>
  <si>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</si>
  <si>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</si>
  <si>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001 38 00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</si>
  <si>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</si>
  <si>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</si>
  <si>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</si>
  <si>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</si>
  <si>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</si>
  <si>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Расходы на выполнение отдельных государственных полномочий по государственному регулированию цен (тарифов)</t>
  </si>
  <si>
    <t>9906140</t>
  </si>
  <si>
    <t>Осуществление отдельных государственных полномочий по лицензированию розничной продажи алкогольной продукции</t>
  </si>
  <si>
    <t>8508100</t>
  </si>
  <si>
    <t>Сельское хозяйство и рыболовство</t>
  </si>
  <si>
    <t xml:space="preserve"> Поддержка производства и переработка молока</t>
  </si>
  <si>
    <t>8505201</t>
  </si>
  <si>
    <t>Субсидии юридическим лицам (кроме муниципальных учреждений), индивидуальным предпринимателям, физическим лицам-производителям товаров, работ,услуг</t>
  </si>
  <si>
    <t>810</t>
  </si>
  <si>
    <t>Поддержка базовых свиноводческих хозяйств</t>
  </si>
  <si>
    <t>8505303</t>
  </si>
  <si>
    <t>Поддержка табунного коневодства</t>
  </si>
  <si>
    <t>8505305</t>
  </si>
  <si>
    <t>Повышение урожайности сельскохозяйственных культур</t>
  </si>
  <si>
    <t>8506300</t>
  </si>
  <si>
    <t>Поддержка посева кормовых культур</t>
  </si>
  <si>
    <t>8506402</t>
  </si>
  <si>
    <t>Поддержка северного оленеводства</t>
  </si>
  <si>
    <t>8507101</t>
  </si>
  <si>
    <t>Материально-техническое обеспечение оленеводов</t>
  </si>
  <si>
    <t>8507102</t>
  </si>
  <si>
    <t>Создание условий устоичивого развития охотничьего промысла</t>
  </si>
  <si>
    <t>8507300</t>
  </si>
  <si>
    <t>Выполнение отдельных государственных полномочий по поддержке сельскохозяйственного производства муниципальными служащими</t>
  </si>
  <si>
    <t>8515100</t>
  </si>
  <si>
    <t>Выполнение отдельных государственных полномочий по поддержке сельскохозяйственного производства муниципальными учреждениями</t>
  </si>
  <si>
    <t>8515200</t>
  </si>
  <si>
    <t>112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</si>
  <si>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</si>
  <si>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</si>
  <si>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</si>
  <si>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</si>
  <si>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Бюджетные инвестиции в обьекты муниципальной собственности унитарным предприятиям, основанным на праве хозяйственного ведения</t>
  </si>
  <si>
    <t>422</t>
  </si>
  <si>
    <t>Дорожное хозяйство</t>
  </si>
  <si>
    <t>Содержание автомобильных  дорог общего пользования</t>
  </si>
  <si>
    <t>315 01 02</t>
  </si>
  <si>
    <t>Другие вопросы в области национальной экономики</t>
  </si>
  <si>
    <t>12</t>
  </si>
  <si>
    <t>0929900</t>
  </si>
  <si>
    <t>Оценка недвижимости, признание прав  и регулирование отношений по государственной  и муниципальной собственности</t>
  </si>
  <si>
    <t>0900200</t>
  </si>
  <si>
    <t>3400300</t>
  </si>
  <si>
    <t>Жилищно-коммунальное хозяйство</t>
  </si>
  <si>
    <t>Жилищное хозяйство</t>
  </si>
  <si>
    <t>Проведение энергоэффективного капитального ремонта МКД</t>
  </si>
  <si>
    <t>9105301</t>
  </si>
  <si>
    <t>Субсидии, за исключением субсидий на софинансирование обьектов капитального строительства муниципальной собственности</t>
  </si>
  <si>
    <t>521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</si>
  <si>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</si>
  <si>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</si>
  <si>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</si>
  <si>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</si>
  <si>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</si>
  <si>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</si>
  <si>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</si>
  <si>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 в обьекты муниципальной собственности бюджетным учреждениям вне рамок государственного оборонного заказа</t>
  </si>
  <si>
    <t>413</t>
  </si>
  <si>
    <t>Детские дошкольные учреждения</t>
  </si>
  <si>
    <t>420 00 00</t>
  </si>
  <si>
    <t>420 99 00</t>
  </si>
  <si>
    <t>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</si>
  <si>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>Предоставление льгот по коммунальным услугам педагогическим работникам образовательных учреждений</t>
  </si>
  <si>
    <t>6202103</t>
  </si>
  <si>
    <t xml:space="preserve">Обеспечение противопожарной безопасности образовательных учреждений </t>
  </si>
  <si>
    <t>6207101</t>
  </si>
  <si>
    <t>Обеспечение антитеррористической безопасности образовательных учреждений</t>
  </si>
  <si>
    <t>6207102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</si>
  <si>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</si>
  <si>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</si>
  <si>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</si>
  <si>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</si>
  <si>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</si>
  <si>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</si>
  <si>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Модернизация общего образования</t>
  </si>
  <si>
    <t>4362100</t>
  </si>
  <si>
    <t>Учреждения по внешкольной работе с детьми</t>
  </si>
  <si>
    <t>423 00 00</t>
  </si>
  <si>
    <t>423 99 00</t>
  </si>
  <si>
    <t>Ежемесячное денежное вознаграждение за классное руководство</t>
  </si>
  <si>
    <t>5200900</t>
  </si>
  <si>
    <t>О казание услуг (выполнение работ)специальными (коррекционными) образовательными учреждениями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</si>
  <si>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6203105</t>
  </si>
  <si>
    <t>Расходы на реализацию государственного стандарта общего образования</t>
  </si>
  <si>
    <t>62 03 104</t>
  </si>
  <si>
    <t>Реализация государственного стандарта общего образования</t>
  </si>
  <si>
    <t>6203204</t>
  </si>
  <si>
    <t xml:space="preserve">Финансирование образовательных учреждений для детей-сирот и детей, оставшихся без попечения родителей </t>
  </si>
  <si>
    <t>6205107</t>
  </si>
  <si>
    <t xml:space="preserve"> </t>
  </si>
  <si>
    <t>Обеспечение образовательных учреждений медицинскими кабинетами</t>
  </si>
  <si>
    <t>6207103</t>
  </si>
  <si>
    <t>Молодежная политика и оздоровление детей</t>
  </si>
  <si>
    <t>Оздоровление детей</t>
  </si>
  <si>
    <t>4320200</t>
  </si>
  <si>
    <t>432 99 00</t>
  </si>
  <si>
    <t>Проведение  оздоровительной кампании детей</t>
  </si>
  <si>
    <t>6206102</t>
  </si>
  <si>
    <t>Приобретение товаров, работ,услуг в пользу граждан</t>
  </si>
  <si>
    <t>323</t>
  </si>
  <si>
    <t>Организация отдыха, оздоровления и занятости детей</t>
  </si>
  <si>
    <t>6206101</t>
  </si>
  <si>
    <t>Организация и проведение конкурса на предоставление субсидии по реализации молодежной политики в муниципальные образования Республики Саха (Якутия)</t>
  </si>
  <si>
    <t>730 24 08</t>
  </si>
  <si>
    <t>Целевая муниципальная программа "Гражданско-патриотическое воспитание молодежи"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</si>
  <si>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</si>
  <si>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</si>
  <si>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</si>
  <si>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</si>
  <si>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Проведение мероприятий для детей и молодежи</t>
  </si>
  <si>
    <t>4360900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</si>
  <si>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</si>
  <si>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</si>
  <si>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</si>
  <si>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</si>
  <si>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</si>
  <si>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</si>
  <si>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</si>
  <si>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Библиотеки</t>
  </si>
  <si>
    <t>442 00 00</t>
  </si>
  <si>
    <t>442 99 00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</si>
  <si>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</si>
  <si>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</si>
  <si>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</si>
  <si>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</si>
  <si>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</si>
  <si>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Пособия и компенсации по публичным нормативным обязательствам</t>
  </si>
  <si>
    <t>312</t>
  </si>
  <si>
    <t>Социальное обеспечение населения</t>
  </si>
  <si>
    <t xml:space="preserve">Иные виды социальной помощи </t>
  </si>
  <si>
    <t>313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</si>
  <si>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</si>
  <si>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</si>
  <si>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</si>
  <si>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5050502</t>
  </si>
  <si>
    <t>6205109</t>
  </si>
  <si>
    <t>Обеспечение жилыми помещениями детей-сирот и детей, оставшихся без попечения родителей, и лиц из их числа</t>
  </si>
  <si>
    <t>Бюджетные инвестиции на приобретение обьектов недвижимого имущества казенным учреждениям</t>
  </si>
  <si>
    <t>441</t>
  </si>
  <si>
    <t>Выплата компенсации части родительской платы за содержание (присмотр и уход)ребенка в  образовательных учреждениях и иных организациях, реализующих основную общеобразовательную программу дошкольного образования</t>
  </si>
  <si>
    <t>6202102</t>
  </si>
  <si>
    <t>Пособия и компенсации гражданам и иные социальные выплаты, кроме публичных нормативных обязательств</t>
  </si>
  <si>
    <t>321</t>
  </si>
  <si>
    <t>Содержание детей в семьях опекунов</t>
  </si>
  <si>
    <t>6205105</t>
  </si>
  <si>
    <t>Обеспечение проезда детей-сирот и детей, оставшихся без попечения родителей, обучающихся в муниципальных образовательных учреждениях</t>
  </si>
  <si>
    <t xml:space="preserve"> Санаторно-курортное лечение детей-сирот и детей, оставшихся без попечения родителей</t>
  </si>
  <si>
    <t>Выполнение отдельных государственных полномочий по опеке и попечительству</t>
  </si>
  <si>
    <t>Другие вопросы в области социальной политики</t>
  </si>
  <si>
    <t>Выполнение отдельных государственных полномочий по опеке и попечительству в отношении совершеннолетних дееспособных граждан, которые по состоянию здоровья не могут самостоятельно осуществлять и защищать свои права и исполнять обязанности</t>
  </si>
  <si>
    <t>6502205</t>
  </si>
  <si>
    <t>Обеспечение совместных действий органов законадательной, исполнительнойвласти, обьединений работадателей, профессиональных союзов республики, направленных на улучшение условий и охраны труда работников республики</t>
  </si>
  <si>
    <t>6503101</t>
  </si>
  <si>
    <t>Выполнение отдельных государственных полномочий по исполнению функций комиссий по делам несовершеннолетних</t>
  </si>
  <si>
    <t>9906110</t>
  </si>
  <si>
    <t>Физическая культура и спорт</t>
  </si>
  <si>
    <t>00</t>
  </si>
  <si>
    <t>Межбюджетные трансферты</t>
  </si>
  <si>
    <t>14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</si>
  <si>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</si>
  <si>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</si>
  <si>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</si>
  <si>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Дотации на выравнивание бюджетной обеспеченности муниципальных образовани</t>
  </si>
  <si>
    <t>511</t>
  </si>
  <si>
    <t>Дотация бюджетам муниципальных образований на поддержку мер по обеспечению сбалансированности местных бюджетов</t>
  </si>
  <si>
    <t>512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</si>
  <si>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</si>
  <si>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</si>
  <si>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</si>
  <si>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540</t>
  </si>
  <si>
    <t>Приложение 1</t>
  </si>
  <si>
    <t>(тыс.руб)</t>
  </si>
  <si>
    <t>Приложение 2</t>
  </si>
  <si>
    <t>РАСХОДЫ</t>
  </si>
  <si>
    <t xml:space="preserve">ПО ВЕДОМСТВЕННОЙ  И ФУНКЦИОНАЛЬНОЙ СРУКТУРЕ РАСХОДОВ БЮДЖЕТА МУНИЦИПАЛЬНОГО ОБРАЗОВАНИЯ </t>
  </si>
  <si>
    <t>"АЛДАНСКИЙ РАЙОН"</t>
  </si>
  <si>
    <t>ИСТОЧНИКИ ФИНАНСИРОВАНИЯ ДЕФИЦИТА БЮДЖЕТА</t>
  </si>
  <si>
    <t>ПО КОДАМ КЛАССИФИКАЦИИ ИСТОЧНИКОВ ФИНАНСИРОВАНИЯ ДЕФИЦИТОВ БЮДЖЕТОВ</t>
  </si>
  <si>
    <t>Прочие субсидии бюджетам муниципальных районов</t>
  </si>
  <si>
    <t>2 02 03024 05 0000 151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</si>
  <si>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</si>
  <si>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</si>
  <si>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</si>
  <si>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218 05010 05 0000 180</t>
  </si>
  <si>
    <t>219 05000 05 0000 151</t>
  </si>
  <si>
    <t>1 01 02020 01 0000 110</t>
  </si>
  <si>
    <t>1 05 01012 01 0000 110</t>
  </si>
  <si>
    <t>1 05 03020 01 0000110</t>
  </si>
  <si>
    <t>1 06 01030 05 0000110</t>
  </si>
  <si>
    <t xml:space="preserve">Налог на имущество с физических лиц, взимаемый по ставкам, применяемым к объектам налогообложения, расположенным в границах межселенных территорий (сумма платежа перерасчеты, недоимка и задолженность по соответствующему платежу, в том числе по отмененному) </t>
  </si>
  <si>
    <t>1 09 04053 05 0000 110</t>
  </si>
  <si>
    <t>1 14 06025 05 0000 430</t>
  </si>
  <si>
    <t>1 16 25030 01 0000 140</t>
  </si>
  <si>
    <t>1 16 00000 00 0000 000</t>
  </si>
  <si>
    <t xml:space="preserve">Штрафы, санкции возмещение ущерба </t>
  </si>
  <si>
    <t>Денежные взыскания (штрафы) за нарушение законодательства РФ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</si>
  <si>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</si>
  <si>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и окружающей среды</t>
  </si>
  <si>
    <t>1 16 28000 01 0000 140</t>
  </si>
  <si>
    <t xml:space="preserve">Денежные взыскания (штрафы) за нарушение законодательства в области санитарно - эпидемиологического благополучия человека и законодательства в сфере защиты прав потребителей </t>
  </si>
  <si>
    <t>1 16 25060 01 0000 140</t>
  </si>
  <si>
    <t xml:space="preserve">Денежные взыскания (штрафы) за нарушение земельного законодательства </t>
  </si>
  <si>
    <t>1 16 30030 01 0000 140</t>
  </si>
  <si>
    <t xml:space="preserve">Прочие денежные взыскания (штрафы) за правонорушения в области дорожного движения </t>
  </si>
  <si>
    <t>1 16 90050 05 0000 140</t>
  </si>
  <si>
    <t>Прочие поступления от денежных взысканий (штрафов) и иных сумм в возмещение ущерба, зачисляемые в бюджет муниципальных районов</t>
  </si>
  <si>
    <t>Невыясненные поступления</t>
  </si>
  <si>
    <t>1 05 02020 02 0000 110</t>
  </si>
  <si>
    <t>Доходы от продажи земельных участков</t>
  </si>
  <si>
    <t>1 14 00000 00 0000 430</t>
  </si>
  <si>
    <t>1 16 27000 01 0000 140</t>
  </si>
  <si>
    <t>денежные взыскания (штрафы) за нарушение ФЗ "О пожарной безопасности"</t>
  </si>
  <si>
    <t>Единый налог, взимаемый с налогоплательщиков, выбравших в качестве объекта налогообложения доходы,уменьшенные на величину расходов( за налоговые периоды, истекшие до 1 января 2011 года)</t>
  </si>
  <si>
    <t>202  01003 05 0000 151</t>
  </si>
  <si>
    <t>Дотации бюджетам муниципальных районов на поддержку мер по обеспечению сбалансированности бюджетов</t>
  </si>
  <si>
    <t>202 04012 10 0000 151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</si>
  <si>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</si>
  <si>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9503403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</si>
  <si>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</si>
  <si>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местным бюджетам</t>
  </si>
  <si>
    <t>541</t>
  </si>
  <si>
    <t>6202301</t>
  </si>
  <si>
    <t>6202800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</si>
  <si>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</si>
  <si>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Строительство объектов дошкольного образования</t>
  </si>
  <si>
    <t>6206103</t>
  </si>
  <si>
    <t>Организация отдыха и оздоровления детей, находящихся в трудной жизненной ситуации</t>
  </si>
  <si>
    <t>795 00 01</t>
  </si>
  <si>
    <t>011</t>
  </si>
  <si>
    <t>630</t>
  </si>
  <si>
    <t>8805400</t>
  </si>
  <si>
    <t>Подготовка и содержание авиаплощадок (вертодромов)</t>
  </si>
  <si>
    <t>6108101</t>
  </si>
  <si>
    <t>Расходные обязательства по социальному обеспечению населения (опека)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</si>
  <si>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</si>
  <si>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</si>
  <si>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795 00 02</t>
  </si>
  <si>
    <t>202  02008 05 0000 151</t>
  </si>
  <si>
    <t>Субсидии бюджетам муниципальных районов на обеспечение жильем молодых семей</t>
  </si>
  <si>
    <t>218 05010 05 0000 151</t>
  </si>
  <si>
    <t>7950004</t>
  </si>
  <si>
    <t>6802101</t>
  </si>
  <si>
    <t>9502102</t>
  </si>
  <si>
    <t>Обеспечение пожарной безопасности</t>
  </si>
  <si>
    <t>Резервный фонд Правительства РС(Я) на предупреждение и ликвидацию чрезвычайных ситуаций и последствий стихийных бедствий</t>
  </si>
  <si>
    <t>8803305</t>
  </si>
  <si>
    <t>9105401</t>
  </si>
  <si>
    <t>116 45000 01 0000140</t>
  </si>
  <si>
    <t>63 03 104</t>
  </si>
  <si>
    <t>322</t>
  </si>
  <si>
    <t>Субсидии гражданам на приобретение жилья</t>
  </si>
  <si>
    <t>Приложение 4</t>
  </si>
  <si>
    <t>№                      п/п</t>
  </si>
  <si>
    <t>Наименование показателя</t>
  </si>
  <si>
    <t>Денежное содержание, тыс. руб.</t>
  </si>
  <si>
    <t>1.</t>
  </si>
  <si>
    <t>Глава  Муниципального района</t>
  </si>
  <si>
    <t>Аппарат администрации</t>
  </si>
  <si>
    <t>МУ АР "ЦОД ОМС"</t>
  </si>
  <si>
    <t>2.</t>
  </si>
  <si>
    <t>МУ АР "Земельно-Имущественное Управление</t>
  </si>
  <si>
    <t>3.</t>
  </si>
  <si>
    <t>4.</t>
  </si>
  <si>
    <t>Количество штатных единиц</t>
  </si>
  <si>
    <t>МУ "Управление культуры и искусства АР"</t>
  </si>
  <si>
    <t>МУК "МЦРБ"</t>
  </si>
  <si>
    <t>5.</t>
  </si>
  <si>
    <t>6.</t>
  </si>
  <si>
    <t>Руководитель Контрольно-счетной палаты</t>
  </si>
  <si>
    <t>МО "Алданский район", всего</t>
  </si>
  <si>
    <t xml:space="preserve">Культура </t>
  </si>
  <si>
    <t>1 08 07150 01 0000 110</t>
  </si>
  <si>
    <t>Государственная пошлина за выдачу разрешения на установку рекламной конструкции</t>
  </si>
  <si>
    <t>Налог с имущества, переходящего в порядке наследования или дарения</t>
  </si>
  <si>
    <t>1 09 04040 01 0000 110</t>
  </si>
  <si>
    <t>Земельный налог (по обязательствам, возникшим до 1 января 2006 года), мобилизуемый на межселенных территориях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</si>
  <si>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</si>
  <si>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</si>
  <si>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1 11 05130 05 0000 120</t>
  </si>
  <si>
    <t>1 11 05130 10 0000 120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</si>
  <si>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</si>
  <si>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</si>
  <si>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</si>
  <si>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</si>
  <si>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</si>
  <si>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</si>
  <si>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</si>
  <si>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</si>
  <si>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</si>
  <si>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</si>
  <si>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</si>
  <si>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</si>
  <si>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</si>
  <si>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</si>
  <si>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</si>
  <si>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</si>
  <si>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</si>
  <si>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1 13 02000 00 0000 130</t>
  </si>
  <si>
    <t>1 13 02065 05 0000 130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</si>
  <si>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</si>
  <si>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</si>
  <si>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</si>
  <si>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</si>
  <si>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</si>
  <si>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</si>
  <si>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</si>
  <si>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</si>
  <si>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</si>
  <si>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нарушения законодательства Российской Федерации о промышленной безопасности</t>
  </si>
  <si>
    <t>1 14 02052 05 0000 410</t>
  </si>
  <si>
    <t>1 14 02052 05 0000 440</t>
  </si>
  <si>
    <t>1 14 06013 05 0000 430</t>
  </si>
  <si>
    <t>1 16 03010 01 0000 140</t>
  </si>
  <si>
    <t>1 16 03030 01 0000 140</t>
  </si>
  <si>
    <t>1 16 08000 01 0000 140</t>
  </si>
  <si>
    <t>116 21050 05 0000 140</t>
  </si>
  <si>
    <t>116 25010 01 0000 140</t>
  </si>
  <si>
    <t>1 16 30014 01 0000 140</t>
  </si>
  <si>
    <t>1 17 05050 05 0000 180</t>
  </si>
  <si>
    <t>1 17 01050 05 0000 180</t>
  </si>
  <si>
    <t>2 02 02009 05 0000 151</t>
  </si>
  <si>
    <t>2 02 02051 05 0000 151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</si>
  <si>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</si>
  <si>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</si>
  <si>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</si>
  <si>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2 02 04025 05 0000 151</t>
  </si>
  <si>
    <t>2 02 04999 05 0000 151</t>
  </si>
  <si>
    <t>2 02 09024 05 0000 151</t>
  </si>
  <si>
    <t>2 04 05010 05 0000 180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</si>
  <si>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</si>
  <si>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</si>
  <si>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</si>
  <si>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Предоставление негосударственными организациями грантов для получателей средств  бюджетов муниципальных районов</t>
  </si>
  <si>
    <t>Безвозмездные поступдения от негосударственных организаций</t>
  </si>
  <si>
    <t>2 04 00000 00 0000 180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</si>
  <si>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</si>
  <si>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</si>
  <si>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2 02 09000 00 0000 151</t>
  </si>
  <si>
    <t>Прочие безвозмездные поступления от других бюджетов бюджетной системы</t>
  </si>
  <si>
    <t>2 18 00000 00 0000 000</t>
  </si>
  <si>
    <t>Доходы бюджетов бюджетной системы РФ  от возврата бюджетами бюджетной системы РФ и организациями</t>
  </si>
  <si>
    <t>9905160</t>
  </si>
  <si>
    <t>990 61 60</t>
  </si>
  <si>
    <t>Прект решения за счет дополнительных доходов</t>
  </si>
  <si>
    <t xml:space="preserve"> за счет перемещения бюджетных ассигнований</t>
  </si>
  <si>
    <t>Субсидии муниципальным образованиям Республики Саха (Якутия) на 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</t>
  </si>
  <si>
    <t>9906160</t>
  </si>
  <si>
    <t xml:space="preserve">Уплата налога на имущество организаций и транспортного налога
</t>
  </si>
  <si>
    <t>Судебная система</t>
  </si>
  <si>
    <t>Выполнение прочих обязательств государства</t>
  </si>
  <si>
    <t>0920390</t>
  </si>
  <si>
    <t>Финансирование на конкурсной основе муниципальных инвестиционных проектов. Гранты общественным организациям в муниципальных образованиях</t>
  </si>
  <si>
    <t>9403401</t>
  </si>
  <si>
    <t>Программа Правительства РС(Я) по повышению эффективности бюджетных расходов на 2011-2013 годы</t>
  </si>
  <si>
    <t xml:space="preserve">Общереспубликанское движение добрых дел "Моя Якутия  в 21 веке" </t>
  </si>
  <si>
    <t>9905220</t>
  </si>
  <si>
    <t>Субсидии на софинансирование объектов капитального строительства муниципальной собственности</t>
  </si>
  <si>
    <t>523</t>
  </si>
  <si>
    <t>7950003</t>
  </si>
  <si>
    <t>Субсидия на реализацию подпрограммы "Градостроительное планирование развития территорий. Снижение административных барьеров в области строительства".</t>
  </si>
  <si>
    <t>Поддержка скотоводства</t>
  </si>
  <si>
    <t>8505301</t>
  </si>
  <si>
    <t>8507100</t>
  </si>
  <si>
    <t>Субсидии, за исключением субсидий на софинансирование объектов капитального строительства муниципальной собственности</t>
  </si>
  <si>
    <t>795 00 00</t>
  </si>
  <si>
    <t xml:space="preserve">795 0 000 </t>
  </si>
  <si>
    <t xml:space="preserve">795 00 00 </t>
  </si>
  <si>
    <t>Субсидия на ремонт дворовых территорий</t>
  </si>
  <si>
    <t>Субсидия на строительство автомобильных дорог</t>
  </si>
  <si>
    <t>8803200</t>
  </si>
  <si>
    <t>Субсидия на ремонт местных дорог</t>
  </si>
  <si>
    <t>8803303</t>
  </si>
  <si>
    <t>Субсидия на содержание местных автомобильных дорог</t>
  </si>
  <si>
    <t>8803402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</si>
  <si>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</si>
  <si>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</si>
  <si>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Мероприятия по землеустройству и землепользованию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</si>
  <si>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</si>
  <si>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</si>
  <si>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Упрощение доступа субъектов малого и среднего предпринимательства к финансовым средствам</t>
  </si>
  <si>
    <t>8302100</t>
  </si>
  <si>
    <t>Развитие сети объектов инфраструктуры поддержки малого и среднего предпринимательства, специализирующиеся на предоставлении услуг различным категориям субъектов предпринимательской деятельности</t>
  </si>
  <si>
    <t>8302500</t>
  </si>
  <si>
    <t>Установка приборов учета используемых энергоресурсов</t>
  </si>
  <si>
    <t>9105201</t>
  </si>
  <si>
    <t>Субсидия на софинансирование муниципальных программ по энергосбережению и повышению энергитической эффективности</t>
  </si>
  <si>
    <t xml:space="preserve">Резервный фонд Правительства РС(Я) </t>
  </si>
  <si>
    <t>9502101</t>
  </si>
  <si>
    <t>Благоустройство</t>
  </si>
  <si>
    <t xml:space="preserve">Оздоровление детей </t>
  </si>
  <si>
    <t>Районная целевая программа "Семья и дети" на 2007-2011 годы</t>
  </si>
  <si>
    <t>Обеспечение пожарной безопасности на объектах культуры и искусства в части муниципальных учреждения, относящихся к культурно-досуговым учреждениям</t>
  </si>
  <si>
    <t>741 22 01</t>
  </si>
  <si>
    <t xml:space="preserve">Комплектование книжных фондов библиотек муниципальных образований и государственных библиотек </t>
  </si>
  <si>
    <t>440 02 00</t>
  </si>
  <si>
    <t>9906150</t>
  </si>
  <si>
    <t>Субсидия на реализацию подпрограммы "Обеспечение жильем молодых семей"</t>
  </si>
  <si>
    <t xml:space="preserve">"Обслуживание государственного и муниципального долга" 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</si>
  <si>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</si>
  <si>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</si>
  <si>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</si>
  <si>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</si>
  <si>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</si>
  <si>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Прочие межбюджетные трансферты</t>
  </si>
  <si>
    <t>517 02 00</t>
  </si>
  <si>
    <t>Поддержка мер по обеспечению сбалансированности местных бюджетов</t>
  </si>
  <si>
    <t>950 33 01</t>
  </si>
  <si>
    <t>521 03 99</t>
  </si>
  <si>
    <t xml:space="preserve">796 00 00 </t>
  </si>
  <si>
    <t>Культура</t>
  </si>
  <si>
    <t xml:space="preserve">Приложение 3   </t>
  </si>
  <si>
    <t>Источники внутреннего финансирования дефицита бюджета, всего:</t>
  </si>
  <si>
    <t>Бюджетные кредиты от других бюджетов бюджетной системы Российской Федерации в валюте Российской Федерации</t>
  </si>
  <si>
    <t xml:space="preserve"> - привлечение основного долга</t>
  </si>
  <si>
    <t>Изменение остатков средств на счетах по учету средств бюджета</t>
  </si>
  <si>
    <t xml:space="preserve"> -  увеличение  остатков средств бюджета</t>
  </si>
  <si>
    <t xml:space="preserve"> - уменьшение  остатков средств бюджета</t>
  </si>
  <si>
    <t>Иные источники финансирования дефицита бюджета</t>
  </si>
  <si>
    <t xml:space="preserve">   в том числе:</t>
  </si>
  <si>
    <t>Поступления от продажи акций и иных форм участия в капитале, находящихся  в муниципальной собственности</t>
  </si>
  <si>
    <t>Бюджетный кредит, предоставляемый из муниципального бюджета МО "Алданский район" другим бюджетам бюджетной системы РФ в валюте РФ</t>
  </si>
  <si>
    <t xml:space="preserve">  - предоставление кредита</t>
  </si>
  <si>
    <t>ОТЧЕТ ОБ ИСПОЛНЕНИИ ДОХОДНОЙ ЧАСТИ</t>
  </si>
  <si>
    <t>БЮДЖЕТА МУНИЦИПАЛЬНОГО ОБРАЗОВАНИЯ "АЛДАНСКИЙ РАЙОН" ЗА 2012 ГОД</t>
  </si>
  <si>
    <t>МО "АЛДАНСКИЙ РАЙОН" ЗА 2012 ГОД</t>
  </si>
  <si>
    <t>МУНИЦИПАЛЬНОГО ОБРАЗОВАНИЯ "АЛДАНСКИЙ РАЙОН" ЗА  2012 ГОД</t>
  </si>
  <si>
    <t>Сведения о численности муниципальных служащих, работников муниципальных учреждений МО "Алданский район" и фактическим расходам на их денежное содержание за январь-декабрь 2012 года</t>
  </si>
  <si>
    <t>*</t>
  </si>
  <si>
    <t>гос.ст.</t>
  </si>
  <si>
    <t>дотация</t>
  </si>
  <si>
    <t>санатор.и корр.школы</t>
  </si>
  <si>
    <t>Дет.дом</t>
  </si>
  <si>
    <t>Образование **</t>
  </si>
  <si>
    <t>Администрация*</t>
  </si>
  <si>
    <t>**</t>
  </si>
  <si>
    <t>ОМСУ</t>
  </si>
  <si>
    <t>адм.комиссии</t>
  </si>
  <si>
    <t>арх.фонд</t>
  </si>
  <si>
    <t>КДН</t>
  </si>
  <si>
    <t>органы опеки</t>
  </si>
  <si>
    <t>рег.цен</t>
  </si>
  <si>
    <t>охрана труда</t>
  </si>
  <si>
    <t>Налог,взимаемый с налогоплательщиков,выбравших в качестве налогообложения доходы, уменьшенные  на величину расходов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</si>
  <si>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</si>
  <si>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116 43000 01 0000 140</t>
  </si>
  <si>
    <t>Прочие расходы на содержание учреждений по обеспечению хозяйственного обеспечения.</t>
  </si>
  <si>
    <t xml:space="preserve">   </t>
  </si>
  <si>
    <t>Председатель Алданского районного Совета депутатов РС(Я)                                                   С.П. Жаворонков</t>
  </si>
  <si>
    <t>С.П. Жаворонков</t>
  </si>
  <si>
    <t xml:space="preserve">Председатель Алданского районного Совета депутатов РС(Я):                                                   </t>
  </si>
  <si>
    <t xml:space="preserve">Председатель Алданского районного Совета депутатов РС(Я):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</si>
</sst>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0"/>
    <numFmt numFmtId="168" formatCode="_-* #,##0.0_р_._-;\-* #,##0.0_р_._-;_-* &quot;-&quot;??_р_._-;_-@_-"/>
    <numFmt numFmtId="169" formatCode="_-* #,##0.00000_р_._-;\-* #,##0.00000_р_._-;_-* &quot;-&quot;?????_р_._-;_-@_-"/>
    <numFmt numFmtId="170" formatCode="_-* #,##0_р_._-;\-* #,##0_р_._-;_-* &quot;-&quot;??_р_._-;_-@_-"/>
    <numFmt numFmtId="171" formatCode="0.00000"/>
    <numFmt numFmtId="172" formatCode="_-* #,##0.0000_р_._-;\-* #,##0.0000_р_._-;_-* &quot;-&quot;??_р_._-;_-@_-"/>
    <numFmt numFmtId="173" formatCode="_-* #,##0.00000_р_._-;\-* #,##0.00000_р_._-;_-* &quot;-&quot;??_р_._-;_-@_-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0"/>
      <name val="Arial Rounded MT Bold"/>
      <family val="2"/>
    </font>
    <font>
      <b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theme="0" tint="-0.249977111117893"/>
      <name val="Arial Cyr"/>
      <charset val="204"/>
    </font>
    <font>
      <sz val="1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/>
    <xf numFmtId="0" fontId="37" fillId="0" borderId="0"/>
    <xf numFmtId="0" fontId="1" fillId="0" borderId="0"/>
    <xf numFmtId="0" fontId="2" fillId="28" borderId="37" applyNumberFormat="0" applyFont="0" applyAlignment="0" applyProtection="0"/>
    <xf numFmtId="0" fontId="15" fillId="0" borderId="0"/>
  </cellStyleXfs>
  <cellXfs count="359">
    <xf numFmtId="0" fontId="0" fillId="0" borderId="0" xfId="0"/>
    <xf numFmtId="0" fontId="26" fillId="0" borderId="10" xfId="37" applyFont="1" applyFill="1" applyBorder="1" applyAlignment="1">
      <alignment wrapText="1"/>
    </xf>
    <xf numFmtId="0" fontId="27" fillId="0" borderId="10" xfId="37" applyFont="1" applyFill="1" applyBorder="1" applyAlignment="1">
      <alignment wrapText="1"/>
    </xf>
    <xf numFmtId="0" fontId="23" fillId="0" borderId="10" xfId="36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Fill="1"/>
    <xf numFmtId="0" fontId="25" fillId="0" borderId="0" xfId="0" applyFont="1"/>
    <xf numFmtId="0" fontId="28" fillId="0" borderId="0" xfId="0" applyFont="1"/>
    <xf numFmtId="167" fontId="15" fillId="0" borderId="0" xfId="0" applyNumberFormat="1" applyFont="1"/>
    <xf numFmtId="0" fontId="29" fillId="0" borderId="0" xfId="0" applyFont="1"/>
    <xf numFmtId="167" fontId="25" fillId="0" borderId="0" xfId="0" applyNumberFormat="1" applyFont="1"/>
    <xf numFmtId="0" fontId="30" fillId="0" borderId="0" xfId="0" applyFont="1"/>
    <xf numFmtId="0" fontId="15" fillId="25" borderId="0" xfId="0" applyFont="1" applyFill="1"/>
    <xf numFmtId="0" fontId="28" fillId="0" borderId="0" xfId="0" applyFont="1" applyFill="1"/>
    <xf numFmtId="167" fontId="15" fillId="0" borderId="0" xfId="0" applyNumberFormat="1" applyFont="1" applyFill="1"/>
    <xf numFmtId="0" fontId="15" fillId="0" borderId="0" xfId="38" applyFont="1" applyFill="1"/>
    <xf numFmtId="0" fontId="21" fillId="0" borderId="0" xfId="37" applyFont="1" applyFill="1" applyAlignment="1"/>
    <xf numFmtId="0" fontId="22" fillId="0" borderId="0" xfId="0" applyFont="1" applyAlignment="1"/>
    <xf numFmtId="0" fontId="22" fillId="0" borderId="0" xfId="0" applyFont="1" applyAlignment="1">
      <alignment wrapText="1"/>
    </xf>
    <xf numFmtId="0" fontId="15" fillId="0" borderId="0" xfId="0" applyFont="1" applyBorder="1"/>
    <xf numFmtId="49" fontId="23" fillId="25" borderId="10" xfId="0" applyNumberFormat="1" applyFont="1" applyFill="1" applyBorder="1"/>
    <xf numFmtId="49" fontId="23" fillId="25" borderId="10" xfId="0" applyNumberFormat="1" applyFont="1" applyFill="1" applyBorder="1" applyAlignment="1">
      <alignment wrapText="1"/>
    </xf>
    <xf numFmtId="0" fontId="32" fillId="0" borderId="10" xfId="0" applyFont="1" applyBorder="1"/>
    <xf numFmtId="0" fontId="34" fillId="0" borderId="10" xfId="0" applyFont="1" applyBorder="1"/>
    <xf numFmtId="0" fontId="33" fillId="0" borderId="10" xfId="0" applyFont="1" applyBorder="1"/>
    <xf numFmtId="0" fontId="35" fillId="0" borderId="10" xfId="0" applyFont="1" applyBorder="1" applyAlignment="1">
      <alignment wrapText="1"/>
    </xf>
    <xf numFmtId="0" fontId="24" fillId="0" borderId="10" xfId="36" applyFont="1" applyBorder="1" applyAlignment="1"/>
    <xf numFmtId="0" fontId="23" fillId="0" borderId="10" xfId="36" applyFont="1" applyBorder="1" applyAlignment="1"/>
    <xf numFmtId="0" fontId="23" fillId="0" borderId="10" xfId="36" applyFont="1" applyBorder="1" applyAlignment="1">
      <alignment wrapText="1"/>
    </xf>
    <xf numFmtId="0" fontId="23" fillId="0" borderId="10" xfId="36" applyFont="1" applyFill="1" applyBorder="1" applyAlignment="1"/>
    <xf numFmtId="43" fontId="24" fillId="0" borderId="10" xfId="44" applyFont="1" applyBorder="1" applyAlignment="1">
      <alignment horizontal="right"/>
    </xf>
    <xf numFmtId="43" fontId="23" fillId="0" borderId="10" xfId="44" applyFont="1" applyBorder="1" applyAlignment="1">
      <alignment horizontal="right"/>
    </xf>
    <xf numFmtId="43" fontId="23" fillId="0" borderId="10" xfId="44" applyFont="1" applyBorder="1" applyAlignment="1">
      <alignment horizontal="right" wrapText="1"/>
    </xf>
    <xf numFmtId="43" fontId="36" fillId="0" borderId="10" xfId="44" applyFont="1" applyBorder="1" applyAlignment="1">
      <alignment horizontal="right"/>
    </xf>
    <xf numFmtId="43" fontId="23" fillId="0" borderId="18" xfId="44" applyFont="1" applyBorder="1" applyAlignment="1">
      <alignment horizontal="right"/>
    </xf>
    <xf numFmtId="43" fontId="24" fillId="0" borderId="12" xfId="44" applyFont="1" applyBorder="1" applyAlignment="1">
      <alignment horizontal="right"/>
    </xf>
    <xf numFmtId="168" fontId="24" fillId="0" borderId="10" xfId="44" applyNumberFormat="1" applyFont="1" applyBorder="1" applyAlignment="1">
      <alignment horizontal="right"/>
    </xf>
    <xf numFmtId="168" fontId="23" fillId="0" borderId="10" xfId="44" applyNumberFormat="1" applyFont="1" applyBorder="1" applyAlignment="1">
      <alignment horizontal="right"/>
    </xf>
    <xf numFmtId="168" fontId="24" fillId="0" borderId="10" xfId="44" applyNumberFormat="1" applyFont="1" applyBorder="1" applyAlignment="1">
      <alignment horizontal="right" wrapText="1"/>
    </xf>
    <xf numFmtId="49" fontId="32" fillId="27" borderId="10" xfId="0" applyNumberFormat="1" applyFont="1" applyFill="1" applyBorder="1" applyAlignment="1">
      <alignment wrapText="1"/>
    </xf>
    <xf numFmtId="0" fontId="37" fillId="0" borderId="0" xfId="46" applyAlignment="1"/>
    <xf numFmtId="0" fontId="37" fillId="0" borderId="0" xfId="46"/>
    <xf numFmtId="0" fontId="21" fillId="0" borderId="0" xfId="46" applyFont="1"/>
    <xf numFmtId="0" fontId="22" fillId="0" borderId="0" xfId="46" applyFont="1"/>
    <xf numFmtId="0" fontId="21" fillId="0" borderId="0" xfId="46" applyFont="1" applyAlignment="1">
      <alignment horizontal="right"/>
    </xf>
    <xf numFmtId="0" fontId="23" fillId="0" borderId="19" xfId="46" applyFont="1" applyBorder="1" applyAlignment="1">
      <alignment vertical="center" wrapText="1"/>
    </xf>
    <xf numFmtId="0" fontId="23" fillId="0" borderId="20" xfId="46" applyFont="1" applyBorder="1" applyAlignment="1">
      <alignment vertical="center" wrapText="1"/>
    </xf>
    <xf numFmtId="0" fontId="23" fillId="0" borderId="21" xfId="46" applyFont="1" applyBorder="1" applyAlignment="1">
      <alignment vertical="center" wrapText="1"/>
    </xf>
    <xf numFmtId="0" fontId="23" fillId="0" borderId="0" xfId="46" applyFont="1" applyBorder="1" applyAlignment="1">
      <alignment vertical="center" wrapText="1"/>
    </xf>
    <xf numFmtId="0" fontId="23" fillId="0" borderId="22" xfId="46" applyFont="1" applyBorder="1" applyAlignment="1">
      <alignment vertical="center" wrapText="1"/>
    </xf>
    <xf numFmtId="0" fontId="23" fillId="0" borderId="23" xfId="46" applyFont="1" applyBorder="1" applyAlignment="1">
      <alignment vertical="center" wrapText="1"/>
    </xf>
    <xf numFmtId="0" fontId="23" fillId="0" borderId="23" xfId="46" applyFont="1" applyBorder="1" applyAlignment="1">
      <alignment horizontal="right" vertical="center" wrapText="1"/>
    </xf>
    <xf numFmtId="0" fontId="23" fillId="0" borderId="10" xfId="46" applyFont="1" applyBorder="1" applyAlignment="1">
      <alignment horizontal="center"/>
    </xf>
    <xf numFmtId="0" fontId="23" fillId="0" borderId="10" xfId="46" applyFont="1" applyBorder="1" applyAlignment="1">
      <alignment horizontal="right"/>
    </xf>
    <xf numFmtId="0" fontId="24" fillId="0" borderId="10" xfId="46" applyFont="1" applyBorder="1"/>
    <xf numFmtId="4" fontId="24" fillId="0" borderId="10" xfId="46" applyNumberFormat="1" applyFont="1" applyBorder="1"/>
    <xf numFmtId="4" fontId="24" fillId="0" borderId="10" xfId="46" applyNumberFormat="1" applyFont="1" applyBorder="1" applyAlignment="1">
      <alignment horizontal="right"/>
    </xf>
    <xf numFmtId="0" fontId="25" fillId="0" borderId="0" xfId="46" applyFont="1"/>
    <xf numFmtId="165" fontId="24" fillId="0" borderId="10" xfId="46" applyNumberFormat="1" applyFont="1" applyBorder="1" applyAlignment="1">
      <alignment horizontal="right"/>
    </xf>
    <xf numFmtId="4" fontId="25" fillId="0" borderId="0" xfId="46" applyNumberFormat="1" applyFont="1"/>
    <xf numFmtId="165" fontId="24" fillId="0" borderId="10" xfId="46" applyNumberFormat="1" applyFont="1" applyBorder="1"/>
    <xf numFmtId="0" fontId="23" fillId="0" borderId="10" xfId="46" applyFont="1" applyBorder="1"/>
    <xf numFmtId="166" fontId="23" fillId="0" borderId="10" xfId="46" applyNumberFormat="1" applyFont="1" applyBorder="1"/>
    <xf numFmtId="166" fontId="23" fillId="0" borderId="10" xfId="46" applyNumberFormat="1" applyFont="1" applyBorder="1" applyAlignment="1">
      <alignment horizontal="right"/>
    </xf>
    <xf numFmtId="4" fontId="23" fillId="0" borderId="10" xfId="46" applyNumberFormat="1" applyFont="1" applyBorder="1"/>
    <xf numFmtId="0" fontId="23" fillId="0" borderId="10" xfId="46" applyFont="1" applyBorder="1" applyAlignment="1">
      <alignment wrapText="1"/>
    </xf>
    <xf numFmtId="0" fontId="24" fillId="0" borderId="10" xfId="46" applyFont="1" applyBorder="1" applyAlignment="1">
      <alignment wrapText="1"/>
    </xf>
    <xf numFmtId="0" fontId="25" fillId="0" borderId="0" xfId="46" applyFont="1" applyAlignment="1">
      <alignment wrapText="1"/>
    </xf>
    <xf numFmtId="0" fontId="25" fillId="0" borderId="0" xfId="46" applyFont="1" applyBorder="1"/>
    <xf numFmtId="0" fontId="36" fillId="0" borderId="10" xfId="46" applyFont="1" applyBorder="1"/>
    <xf numFmtId="0" fontId="38" fillId="0" borderId="0" xfId="46" applyFont="1"/>
    <xf numFmtId="0" fontId="37" fillId="0" borderId="0" xfId="46" applyAlignment="1">
      <alignment wrapText="1"/>
    </xf>
    <xf numFmtId="0" fontId="39" fillId="0" borderId="0" xfId="46" applyFont="1"/>
    <xf numFmtId="0" fontId="24" fillId="0" borderId="10" xfId="46" applyFont="1" applyBorder="1" applyAlignment="1">
      <alignment vertical="top"/>
    </xf>
    <xf numFmtId="0" fontId="26" fillId="0" borderId="10" xfId="47" applyFont="1" applyFill="1" applyBorder="1" applyAlignment="1">
      <alignment wrapText="1"/>
    </xf>
    <xf numFmtId="164" fontId="25" fillId="0" borderId="0" xfId="46" applyNumberFormat="1" applyFont="1"/>
    <xf numFmtId="0" fontId="24" fillId="0" borderId="10" xfId="46" applyFont="1" applyBorder="1" applyAlignment="1"/>
    <xf numFmtId="0" fontId="26" fillId="0" borderId="10" xfId="47" applyFont="1" applyFill="1" applyBorder="1" applyAlignment="1">
      <alignment horizontal="left" wrapText="1"/>
    </xf>
    <xf numFmtId="3" fontId="24" fillId="0" borderId="10" xfId="46" applyNumberFormat="1" applyFont="1" applyBorder="1"/>
    <xf numFmtId="0" fontId="23" fillId="0" borderId="10" xfId="46" applyFont="1" applyBorder="1" applyAlignment="1"/>
    <xf numFmtId="0" fontId="27" fillId="0" borderId="10" xfId="47" applyFont="1" applyFill="1" applyBorder="1" applyAlignment="1">
      <alignment horizontal="left" wrapText="1"/>
    </xf>
    <xf numFmtId="0" fontId="23" fillId="24" borderId="10" xfId="47" applyFont="1" applyFill="1" applyBorder="1" applyAlignment="1">
      <alignment vertical="top" wrapText="1"/>
    </xf>
    <xf numFmtId="1" fontId="23" fillId="0" borderId="10" xfId="46" applyNumberFormat="1" applyFont="1" applyBorder="1"/>
    <xf numFmtId="0" fontId="27" fillId="0" borderId="10" xfId="47" applyFont="1" applyFill="1" applyBorder="1" applyAlignment="1">
      <alignment wrapText="1"/>
    </xf>
    <xf numFmtId="0" fontId="15" fillId="0" borderId="0" xfId="46" applyFont="1"/>
    <xf numFmtId="0" fontId="23" fillId="0" borderId="10" xfId="47" applyFont="1" applyFill="1" applyBorder="1" applyAlignment="1">
      <alignment horizontal="left" wrapText="1"/>
    </xf>
    <xf numFmtId="164" fontId="37" fillId="0" borderId="0" xfId="46" applyNumberFormat="1"/>
    <xf numFmtId="0" fontId="23" fillId="0" borderId="18" xfId="46" applyFont="1" applyBorder="1"/>
    <xf numFmtId="0" fontId="24" fillId="0" borderId="11" xfId="46" applyFont="1" applyBorder="1"/>
    <xf numFmtId="0" fontId="24" fillId="0" borderId="12" xfId="46" applyFont="1" applyBorder="1"/>
    <xf numFmtId="0" fontId="23" fillId="0" borderId="0" xfId="46" applyFont="1"/>
    <xf numFmtId="0" fontId="23" fillId="0" borderId="0" xfId="46" applyFont="1" applyAlignment="1">
      <alignment horizontal="right"/>
    </xf>
    <xf numFmtId="0" fontId="37" fillId="0" borderId="0" xfId="46" applyAlignment="1">
      <alignment horizontal="right"/>
    </xf>
    <xf numFmtId="0" fontId="25" fillId="25" borderId="0" xfId="0" applyFont="1" applyFill="1"/>
    <xf numFmtId="0" fontId="25" fillId="0" borderId="0" xfId="0" applyFont="1" applyFill="1"/>
    <xf numFmtId="0" fontId="32" fillId="0" borderId="10" xfId="0" applyFont="1" applyBorder="1" applyAlignment="1">
      <alignment wrapText="1"/>
    </xf>
    <xf numFmtId="0" fontId="33" fillId="0" borderId="33" xfId="0" applyFont="1" applyBorder="1" applyAlignment="1"/>
    <xf numFmtId="0" fontId="33" fillId="0" borderId="0" xfId="0" applyFont="1"/>
    <xf numFmtId="0" fontId="33" fillId="0" borderId="34" xfId="0" applyFont="1" applyBorder="1" applyAlignment="1"/>
    <xf numFmtId="0" fontId="33" fillId="0" borderId="21" xfId="0" applyFont="1" applyBorder="1" applyAlignment="1">
      <alignment horizontal="center"/>
    </xf>
    <xf numFmtId="0" fontId="0" fillId="0" borderId="0" xfId="0" applyFont="1"/>
    <xf numFmtId="0" fontId="33" fillId="0" borderId="32" xfId="0" applyFont="1" applyBorder="1" applyAlignment="1">
      <alignment horizontal="center"/>
    </xf>
    <xf numFmtId="167" fontId="37" fillId="0" borderId="0" xfId="46" applyNumberFormat="1"/>
    <xf numFmtId="2" fontId="32" fillId="27" borderId="10" xfId="0" applyNumberFormat="1" applyFont="1" applyFill="1" applyBorder="1" applyAlignment="1">
      <alignment wrapText="1"/>
    </xf>
    <xf numFmtId="49" fontId="32" fillId="27" borderId="10" xfId="0" applyNumberFormat="1" applyFont="1" applyFill="1" applyBorder="1"/>
    <xf numFmtId="0" fontId="15" fillId="25" borderId="0" xfId="0" applyFont="1" applyFill="1" applyAlignment="1">
      <alignment horizontal="center"/>
    </xf>
    <xf numFmtId="0" fontId="24" fillId="25" borderId="27" xfId="37" applyNumberFormat="1" applyFont="1" applyFill="1" applyBorder="1" applyAlignment="1">
      <alignment horizontal="center" vertical="center" wrapText="1"/>
    </xf>
    <xf numFmtId="0" fontId="24" fillId="25" borderId="13" xfId="37" applyFont="1" applyFill="1" applyBorder="1" applyAlignment="1">
      <alignment horizontal="center" wrapText="1"/>
    </xf>
    <xf numFmtId="0" fontId="24" fillId="25" borderId="13" xfId="37" applyNumberFormat="1" applyFont="1" applyFill="1" applyBorder="1" applyAlignment="1">
      <alignment horizontal="center" vertical="center"/>
    </xf>
    <xf numFmtId="3" fontId="24" fillId="25" borderId="13" xfId="37" applyNumberFormat="1" applyFont="1" applyFill="1" applyBorder="1" applyAlignment="1">
      <alignment horizontal="center" vertical="center"/>
    </xf>
    <xf numFmtId="4" fontId="24" fillId="25" borderId="13" xfId="38" applyNumberFormat="1" applyFont="1" applyFill="1" applyBorder="1" applyAlignment="1">
      <alignment horizontal="center" wrapText="1"/>
    </xf>
    <xf numFmtId="4" fontId="24" fillId="0" borderId="13" xfId="38" applyNumberFormat="1" applyFont="1" applyFill="1" applyBorder="1" applyAlignment="1">
      <alignment horizontal="center" wrapText="1"/>
    </xf>
    <xf numFmtId="3" fontId="24" fillId="0" borderId="14" xfId="37" applyNumberFormat="1" applyFont="1" applyFill="1" applyBorder="1" applyAlignment="1">
      <alignment horizontal="center" vertical="center"/>
    </xf>
    <xf numFmtId="167" fontId="24" fillId="25" borderId="10" xfId="37" applyNumberFormat="1" applyFont="1" applyFill="1" applyBorder="1" applyAlignment="1">
      <alignment horizontal="right"/>
    </xf>
    <xf numFmtId="167" fontId="24" fillId="0" borderId="10" xfId="37" applyNumberFormat="1" applyFont="1" applyFill="1" applyBorder="1" applyAlignment="1">
      <alignment horizontal="right"/>
    </xf>
    <xf numFmtId="167" fontId="24" fillId="25" borderId="29" xfId="37" applyNumberFormat="1" applyFont="1" applyFill="1" applyBorder="1" applyAlignment="1">
      <alignment horizontal="right"/>
    </xf>
    <xf numFmtId="167" fontId="24" fillId="0" borderId="25" xfId="37" applyNumberFormat="1" applyFont="1" applyFill="1" applyBorder="1" applyAlignment="1">
      <alignment horizontal="right"/>
    </xf>
    <xf numFmtId="167" fontId="23" fillId="25" borderId="10" xfId="37" applyNumberFormat="1" applyFont="1" applyFill="1" applyBorder="1" applyAlignment="1">
      <alignment horizontal="right"/>
    </xf>
    <xf numFmtId="167" fontId="23" fillId="0" borderId="10" xfId="37" applyNumberFormat="1" applyFont="1" applyFill="1" applyBorder="1" applyAlignment="1">
      <alignment horizontal="right"/>
    </xf>
    <xf numFmtId="167" fontId="23" fillId="25" borderId="29" xfId="37" applyNumberFormat="1" applyFont="1" applyFill="1" applyBorder="1" applyAlignment="1">
      <alignment horizontal="right"/>
    </xf>
    <xf numFmtId="167" fontId="23" fillId="0" borderId="25" xfId="37" applyNumberFormat="1" applyFont="1" applyFill="1" applyBorder="1" applyAlignment="1">
      <alignment horizontal="right"/>
    </xf>
    <xf numFmtId="167" fontId="23" fillId="25" borderId="10" xfId="0" applyNumberFormat="1" applyFont="1" applyFill="1" applyBorder="1"/>
    <xf numFmtId="167" fontId="23" fillId="0" borderId="10" xfId="0" applyNumberFormat="1" applyFont="1" applyFill="1" applyBorder="1"/>
    <xf numFmtId="167" fontId="23" fillId="25" borderId="29" xfId="0" applyNumberFormat="1" applyFont="1" applyFill="1" applyBorder="1"/>
    <xf numFmtId="167" fontId="23" fillId="0" borderId="25" xfId="0" applyNumberFormat="1" applyFont="1" applyFill="1" applyBorder="1"/>
    <xf numFmtId="167" fontId="24" fillId="25" borderId="10" xfId="0" applyNumberFormat="1" applyFont="1" applyFill="1" applyBorder="1"/>
    <xf numFmtId="167" fontId="24" fillId="0" borderId="10" xfId="0" applyNumberFormat="1" applyFont="1" applyFill="1" applyBorder="1"/>
    <xf numFmtId="167" fontId="24" fillId="25" borderId="29" xfId="0" applyNumberFormat="1" applyFont="1" applyFill="1" applyBorder="1"/>
    <xf numFmtId="167" fontId="24" fillId="0" borderId="25" xfId="0" applyNumberFormat="1" applyFont="1" applyFill="1" applyBorder="1"/>
    <xf numFmtId="167" fontId="24" fillId="25" borderId="10" xfId="38" applyNumberFormat="1" applyFont="1" applyFill="1" applyBorder="1"/>
    <xf numFmtId="167" fontId="24" fillId="0" borderId="10" xfId="38" applyNumberFormat="1" applyFont="1" applyFill="1" applyBorder="1"/>
    <xf numFmtId="167" fontId="24" fillId="0" borderId="25" xfId="38" applyNumberFormat="1" applyFont="1" applyFill="1" applyBorder="1"/>
    <xf numFmtId="167" fontId="24" fillId="25" borderId="10" xfId="37" applyNumberFormat="1" applyFont="1" applyFill="1" applyBorder="1"/>
    <xf numFmtId="167" fontId="24" fillId="0" borderId="10" xfId="37" applyNumberFormat="1" applyFont="1" applyFill="1" applyBorder="1"/>
    <xf numFmtId="167" fontId="24" fillId="25" borderId="29" xfId="37" applyNumberFormat="1" applyFont="1" applyFill="1" applyBorder="1"/>
    <xf numFmtId="167" fontId="24" fillId="0" borderId="25" xfId="37" applyNumberFormat="1" applyFont="1" applyFill="1" applyBorder="1"/>
    <xf numFmtId="167" fontId="23" fillId="25" borderId="10" xfId="37" applyNumberFormat="1" applyFont="1" applyFill="1" applyBorder="1"/>
    <xf numFmtId="167" fontId="28" fillId="0" borderId="0" xfId="0" applyNumberFormat="1" applyFont="1"/>
    <xf numFmtId="164" fontId="23" fillId="25" borderId="29" xfId="0" applyNumberFormat="1" applyFont="1" applyFill="1" applyBorder="1"/>
    <xf numFmtId="167" fontId="23" fillId="25" borderId="10" xfId="0" applyNumberFormat="1" applyFont="1" applyFill="1" applyBorder="1" applyAlignment="1">
      <alignment horizontal="right"/>
    </xf>
    <xf numFmtId="167" fontId="23" fillId="0" borderId="10" xfId="0" applyNumberFormat="1" applyFont="1" applyFill="1" applyBorder="1" applyAlignment="1">
      <alignment horizontal="right"/>
    </xf>
    <xf numFmtId="167" fontId="23" fillId="25" borderId="29" xfId="0" applyNumberFormat="1" applyFont="1" applyFill="1" applyBorder="1" applyAlignment="1">
      <alignment horizontal="right"/>
    </xf>
    <xf numFmtId="167" fontId="24" fillId="25" borderId="29" xfId="38" applyNumberFormat="1" applyFont="1" applyFill="1" applyBorder="1"/>
    <xf numFmtId="167" fontId="23" fillId="25" borderId="10" xfId="38" applyNumberFormat="1" applyFont="1" applyFill="1" applyBorder="1"/>
    <xf numFmtId="167" fontId="23" fillId="0" borderId="25" xfId="38" applyNumberFormat="1" applyFont="1" applyFill="1" applyBorder="1"/>
    <xf numFmtId="167" fontId="23" fillId="25" borderId="18" xfId="37" applyNumberFormat="1" applyFont="1" applyFill="1" applyBorder="1" applyAlignment="1">
      <alignment horizontal="right"/>
    </xf>
    <xf numFmtId="167" fontId="23" fillId="25" borderId="18" xfId="0" applyNumberFormat="1" applyFont="1" applyFill="1" applyBorder="1"/>
    <xf numFmtId="167" fontId="23" fillId="0" borderId="18" xfId="0" applyNumberFormat="1" applyFont="1" applyFill="1" applyBorder="1"/>
    <xf numFmtId="167" fontId="23" fillId="25" borderId="32" xfId="0" applyNumberFormat="1" applyFont="1" applyFill="1" applyBorder="1"/>
    <xf numFmtId="167" fontId="23" fillId="0" borderId="36" xfId="0" applyNumberFormat="1" applyFont="1" applyFill="1" applyBorder="1"/>
    <xf numFmtId="167" fontId="24" fillId="25" borderId="18" xfId="37" applyNumberFormat="1" applyFont="1" applyFill="1" applyBorder="1" applyAlignment="1">
      <alignment horizontal="right"/>
    </xf>
    <xf numFmtId="167" fontId="24" fillId="25" borderId="18" xfId="0" applyNumberFormat="1" applyFont="1" applyFill="1" applyBorder="1"/>
    <xf numFmtId="167" fontId="24" fillId="0" borderId="18" xfId="0" applyNumberFormat="1" applyFont="1" applyFill="1" applyBorder="1"/>
    <xf numFmtId="167" fontId="24" fillId="25" borderId="32" xfId="0" applyNumberFormat="1" applyFont="1" applyFill="1" applyBorder="1"/>
    <xf numFmtId="167" fontId="24" fillId="0" borderId="36" xfId="0" applyNumberFormat="1" applyFont="1" applyFill="1" applyBorder="1"/>
    <xf numFmtId="167" fontId="24" fillId="25" borderId="12" xfId="37" applyNumberFormat="1" applyFont="1" applyFill="1" applyBorder="1" applyAlignment="1">
      <alignment horizontal="right"/>
    </xf>
    <xf numFmtId="167" fontId="24" fillId="0" borderId="12" xfId="37" applyNumberFormat="1" applyFont="1" applyFill="1" applyBorder="1" applyAlignment="1">
      <alignment horizontal="right"/>
    </xf>
    <xf numFmtId="167" fontId="24" fillId="0" borderId="26" xfId="37" applyNumberFormat="1" applyFont="1" applyFill="1" applyBorder="1" applyAlignment="1">
      <alignment horizontal="right"/>
    </xf>
    <xf numFmtId="164" fontId="15" fillId="25" borderId="0" xfId="0" applyNumberFormat="1" applyFont="1" applyFill="1"/>
    <xf numFmtId="167" fontId="15" fillId="25" borderId="0" xfId="0" applyNumberFormat="1" applyFont="1" applyFill="1"/>
    <xf numFmtId="0" fontId="15" fillId="25" borderId="0" xfId="38" applyFont="1" applyFill="1"/>
    <xf numFmtId="171" fontId="15" fillId="0" borderId="0" xfId="0" applyNumberFormat="1" applyFont="1"/>
    <xf numFmtId="164" fontId="29" fillId="25" borderId="0" xfId="38" applyNumberFormat="1" applyFont="1" applyFill="1"/>
    <xf numFmtId="4" fontId="15" fillId="25" borderId="0" xfId="0" applyNumberFormat="1" applyFont="1" applyFill="1"/>
    <xf numFmtId="167" fontId="23" fillId="29" borderId="25" xfId="0" applyNumberFormat="1" applyFont="1" applyFill="1" applyBorder="1"/>
    <xf numFmtId="4" fontId="23" fillId="0" borderId="10" xfId="50" applyNumberFormat="1" applyFont="1" applyFill="1" applyBorder="1" applyAlignment="1">
      <alignment horizontal="center"/>
    </xf>
    <xf numFmtId="164" fontId="24" fillId="0" borderId="0" xfId="37" applyNumberFormat="1" applyFont="1" applyFill="1" applyBorder="1" applyAlignment="1">
      <alignment horizontal="right"/>
    </xf>
    <xf numFmtId="171" fontId="15" fillId="0" borderId="0" xfId="0" applyNumberFormat="1" applyFont="1" applyBorder="1"/>
    <xf numFmtId="0" fontId="15" fillId="0" borderId="0" xfId="37" applyFont="1" applyFill="1" applyAlignment="1">
      <alignment wrapText="1"/>
    </xf>
    <xf numFmtId="0" fontId="15" fillId="0" borderId="0" xfId="50" applyFont="1"/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70" fontId="44" fillId="0" borderId="10" xfId="0" applyNumberFormat="1" applyFont="1" applyBorder="1" applyAlignment="1"/>
    <xf numFmtId="43" fontId="44" fillId="0" borderId="35" xfId="44" applyFont="1" applyBorder="1" applyAlignment="1"/>
    <xf numFmtId="0" fontId="44" fillId="0" borderId="2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170" fontId="44" fillId="0" borderId="35" xfId="44" applyNumberFormat="1" applyFont="1" applyBorder="1" applyAlignment="1"/>
    <xf numFmtId="0" fontId="44" fillId="0" borderId="34" xfId="0" applyFont="1" applyBorder="1" applyAlignment="1"/>
    <xf numFmtId="0" fontId="33" fillId="0" borderId="21" xfId="0" applyFont="1" applyBorder="1" applyAlignment="1">
      <alignment horizontal="center" vertical="center"/>
    </xf>
    <xf numFmtId="170" fontId="44" fillId="0" borderId="35" xfId="0" applyNumberFormat="1" applyFont="1" applyBorder="1" applyAlignment="1"/>
    <xf numFmtId="0" fontId="33" fillId="0" borderId="22" xfId="0" applyFont="1" applyBorder="1" applyAlignment="1">
      <alignment horizontal="center"/>
    </xf>
    <xf numFmtId="0" fontId="33" fillId="0" borderId="15" xfId="0" applyFont="1" applyBorder="1" applyAlignment="1"/>
    <xf numFmtId="0" fontId="33" fillId="0" borderId="22" xfId="0" applyFont="1" applyBorder="1" applyAlignment="1"/>
    <xf numFmtId="0" fontId="33" fillId="0" borderId="23" xfId="0" applyFont="1" applyBorder="1" applyAlignment="1"/>
    <xf numFmtId="0" fontId="44" fillId="0" borderId="22" xfId="0" applyFont="1" applyBorder="1" applyAlignment="1"/>
    <xf numFmtId="0" fontId="44" fillId="0" borderId="15" xfId="0" applyFont="1" applyBorder="1" applyAlignment="1"/>
    <xf numFmtId="0" fontId="44" fillId="0" borderId="16" xfId="0" applyFont="1" applyBorder="1" applyAlignment="1"/>
    <xf numFmtId="43" fontId="23" fillId="0" borderId="10" xfId="44" applyFont="1" applyFill="1" applyBorder="1" applyAlignment="1">
      <alignment horizontal="center"/>
    </xf>
    <xf numFmtId="0" fontId="23" fillId="0" borderId="0" xfId="37" applyFont="1"/>
    <xf numFmtId="0" fontId="23" fillId="25" borderId="0" xfId="0" applyFont="1" applyFill="1"/>
    <xf numFmtId="0" fontId="23" fillId="0" borderId="0" xfId="0" applyFont="1" applyFill="1"/>
    <xf numFmtId="0" fontId="23" fillId="25" borderId="0" xfId="37" applyFont="1" applyFill="1"/>
    <xf numFmtId="0" fontId="24" fillId="0" borderId="0" xfId="0" applyFont="1" applyFill="1"/>
    <xf numFmtId="0" fontId="23" fillId="0" borderId="0" xfId="0" applyFont="1"/>
    <xf numFmtId="3" fontId="23" fillId="0" borderId="0" xfId="37" applyNumberFormat="1" applyFont="1" applyFill="1" applyBorder="1" applyAlignment="1" applyProtection="1">
      <alignment horizontal="right" shrinkToFit="1"/>
    </xf>
    <xf numFmtId="0" fontId="24" fillId="25" borderId="28" xfId="37" applyNumberFormat="1" applyFont="1" applyFill="1" applyBorder="1" applyAlignment="1">
      <alignment horizontal="center" vertical="center" wrapText="1"/>
    </xf>
    <xf numFmtId="0" fontId="24" fillId="25" borderId="10" xfId="37" applyNumberFormat="1" applyFont="1" applyFill="1" applyBorder="1" applyAlignment="1">
      <alignment horizontal="center" vertical="center"/>
    </xf>
    <xf numFmtId="3" fontId="24" fillId="25" borderId="10" xfId="37" applyNumberFormat="1" applyFont="1" applyFill="1" applyBorder="1" applyAlignment="1">
      <alignment horizontal="center" vertical="center"/>
    </xf>
    <xf numFmtId="0" fontId="24" fillId="25" borderId="10" xfId="37" applyFont="1" applyFill="1" applyBorder="1" applyAlignment="1">
      <alignment horizontal="center" wrapText="1"/>
    </xf>
    <xf numFmtId="0" fontId="23" fillId="25" borderId="10" xfId="0" applyFont="1" applyFill="1" applyBorder="1"/>
    <xf numFmtId="0" fontId="23" fillId="0" borderId="10" xfId="0" applyFont="1" applyFill="1" applyBorder="1"/>
    <xf numFmtId="0" fontId="23" fillId="25" borderId="29" xfId="0" applyFont="1" applyFill="1" applyBorder="1"/>
    <xf numFmtId="0" fontId="23" fillId="0" borderId="25" xfId="0" applyFont="1" applyFill="1" applyBorder="1"/>
    <xf numFmtId="0" fontId="24" fillId="25" borderId="28" xfId="37" applyFont="1" applyFill="1" applyBorder="1"/>
    <xf numFmtId="0" fontId="24" fillId="25" borderId="10" xfId="37" applyFont="1" applyFill="1" applyBorder="1"/>
    <xf numFmtId="0" fontId="24" fillId="25" borderId="28" xfId="37" applyFont="1" applyFill="1" applyBorder="1" applyAlignment="1">
      <alignment vertical="top" wrapText="1"/>
    </xf>
    <xf numFmtId="49" fontId="24" fillId="25" borderId="10" xfId="37" applyNumberFormat="1" applyFont="1" applyFill="1" applyBorder="1" applyAlignment="1">
      <alignment horizontal="center" wrapText="1"/>
    </xf>
    <xf numFmtId="0" fontId="24" fillId="0" borderId="28" xfId="37" applyFont="1" applyFill="1" applyBorder="1" applyAlignment="1">
      <alignment vertical="top" wrapText="1"/>
    </xf>
    <xf numFmtId="49" fontId="24" fillId="0" borderId="10" xfId="37" applyNumberFormat="1" applyFont="1" applyFill="1" applyBorder="1" applyAlignment="1">
      <alignment horizontal="center" wrapText="1"/>
    </xf>
    <xf numFmtId="0" fontId="23" fillId="0" borderId="28" xfId="37" applyFont="1" applyFill="1" applyBorder="1" applyAlignment="1">
      <alignment vertical="top" wrapText="1"/>
    </xf>
    <xf numFmtId="49" fontId="23" fillId="0" borderId="10" xfId="37" applyNumberFormat="1" applyFont="1" applyFill="1" applyBorder="1" applyAlignment="1">
      <alignment horizontal="center" wrapText="1"/>
    </xf>
    <xf numFmtId="49" fontId="23" fillId="25" borderId="10" xfId="37" applyNumberFormat="1" applyFont="1" applyFill="1" applyBorder="1" applyAlignment="1">
      <alignment horizontal="center" wrapText="1"/>
    </xf>
    <xf numFmtId="0" fontId="23" fillId="0" borderId="28" xfId="0" applyFont="1" applyFill="1" applyBorder="1"/>
    <xf numFmtId="0" fontId="23" fillId="0" borderId="28" xfId="0" applyFont="1" applyFill="1" applyBorder="1" applyAlignment="1">
      <alignment horizontal="left" wrapText="1"/>
    </xf>
    <xf numFmtId="0" fontId="23" fillId="0" borderId="30" xfId="0" applyFont="1" applyFill="1" applyBorder="1" applyAlignment="1">
      <alignment vertical="top" wrapText="1"/>
    </xf>
    <xf numFmtId="0" fontId="24" fillId="0" borderId="28" xfId="38" applyFont="1" applyFill="1" applyBorder="1" applyAlignment="1">
      <alignment wrapText="1"/>
    </xf>
    <xf numFmtId="0" fontId="23" fillId="0" borderId="28" xfId="0" applyFont="1" applyFill="1" applyBorder="1" applyAlignment="1">
      <alignment wrapText="1"/>
    </xf>
    <xf numFmtId="0" fontId="24" fillId="0" borderId="30" xfId="0" applyFont="1" applyFill="1" applyBorder="1" applyAlignment="1">
      <alignment vertical="top" wrapText="1"/>
    </xf>
    <xf numFmtId="0" fontId="23" fillId="0" borderId="28" xfId="38" applyFont="1" applyFill="1" applyBorder="1" applyAlignment="1">
      <alignment wrapText="1"/>
    </xf>
    <xf numFmtId="0" fontId="47" fillId="0" borderId="28" xfId="0" applyFont="1" applyFill="1" applyBorder="1"/>
    <xf numFmtId="0" fontId="24" fillId="0" borderId="28" xfId="0" applyFont="1" applyFill="1" applyBorder="1" applyAlignment="1">
      <alignment horizontal="left" wrapText="1"/>
    </xf>
    <xf numFmtId="49" fontId="24" fillId="0" borderId="28" xfId="0" applyNumberFormat="1" applyFont="1" applyFill="1" applyBorder="1" applyAlignment="1">
      <alignment vertical="top" wrapText="1"/>
    </xf>
    <xf numFmtId="0" fontId="23" fillId="25" borderId="28" xfId="0" applyFont="1" applyFill="1" applyBorder="1" applyAlignment="1">
      <alignment vertical="top" wrapText="1"/>
    </xf>
    <xf numFmtId="0" fontId="23" fillId="0" borderId="28" xfId="37" applyFont="1" applyFill="1" applyBorder="1" applyAlignment="1">
      <alignment horizontal="left" vertical="top" wrapText="1"/>
    </xf>
    <xf numFmtId="0" fontId="48" fillId="0" borderId="30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vertical="top" wrapText="1"/>
    </xf>
    <xf numFmtId="0" fontId="23" fillId="0" borderId="28" xfId="0" applyFont="1" applyBorder="1" applyAlignment="1">
      <alignment wrapText="1"/>
    </xf>
    <xf numFmtId="0" fontId="24" fillId="0" borderId="28" xfId="0" applyFont="1" applyFill="1" applyBorder="1" applyAlignment="1">
      <alignment wrapText="1"/>
    </xf>
    <xf numFmtId="49" fontId="49" fillId="0" borderId="28" xfId="0" applyNumberFormat="1" applyFont="1" applyFill="1" applyBorder="1" applyAlignment="1">
      <alignment vertical="top" wrapText="1"/>
    </xf>
    <xf numFmtId="0" fontId="23" fillId="0" borderId="28" xfId="0" applyFont="1" applyFill="1" applyBorder="1" applyAlignment="1">
      <alignment vertical="top" wrapText="1"/>
    </xf>
    <xf numFmtId="0" fontId="48" fillId="0" borderId="28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27" fillId="0" borderId="15" xfId="0" applyNumberFormat="1" applyFont="1" applyFill="1" applyBorder="1" applyAlignment="1">
      <alignment vertical="top" wrapText="1"/>
    </xf>
    <xf numFmtId="0" fontId="24" fillId="25" borderId="28" xfId="0" applyFont="1" applyFill="1" applyBorder="1" applyAlignment="1">
      <alignment wrapText="1"/>
    </xf>
    <xf numFmtId="0" fontId="24" fillId="0" borderId="28" xfId="0" applyFont="1" applyBorder="1" applyAlignment="1">
      <alignment wrapText="1"/>
    </xf>
    <xf numFmtId="0" fontId="26" fillId="0" borderId="28" xfId="37" applyFont="1" applyFill="1" applyBorder="1" applyAlignment="1">
      <alignment wrapText="1"/>
    </xf>
    <xf numFmtId="0" fontId="24" fillId="0" borderId="28" xfId="0" applyFont="1" applyBorder="1"/>
    <xf numFmtId="49" fontId="23" fillId="26" borderId="28" xfId="38" applyNumberFormat="1" applyFont="1" applyFill="1" applyBorder="1" applyAlignment="1">
      <alignment vertical="top" wrapText="1"/>
    </xf>
    <xf numFmtId="0" fontId="23" fillId="0" borderId="28" xfId="0" applyFont="1" applyFill="1" applyBorder="1" applyAlignment="1"/>
    <xf numFmtId="49" fontId="23" fillId="0" borderId="28" xfId="0" applyNumberFormat="1" applyFont="1" applyFill="1" applyBorder="1" applyAlignment="1">
      <alignment horizontal="left" vertical="top" wrapText="1"/>
    </xf>
    <xf numFmtId="0" fontId="51" fillId="0" borderId="28" xfId="37" applyFont="1" applyFill="1" applyBorder="1" applyAlignment="1">
      <alignment vertical="top" wrapText="1"/>
    </xf>
    <xf numFmtId="49" fontId="23" fillId="0" borderId="28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4" fillId="0" borderId="28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vertical="top" wrapText="1"/>
    </xf>
    <xf numFmtId="0" fontId="23" fillId="0" borderId="10" xfId="37" applyFont="1" applyFill="1" applyBorder="1" applyAlignment="1">
      <alignment horizontal="center" wrapText="1"/>
    </xf>
    <xf numFmtId="0" fontId="24" fillId="0" borderId="10" xfId="37" applyFont="1" applyFill="1" applyBorder="1" applyAlignment="1">
      <alignment horizontal="center" wrapText="1"/>
    </xf>
    <xf numFmtId="0" fontId="24" fillId="25" borderId="28" xfId="0" applyFont="1" applyFill="1" applyBorder="1" applyAlignment="1">
      <alignment vertical="top" wrapText="1"/>
    </xf>
    <xf numFmtId="0" fontId="31" fillId="0" borderId="28" xfId="0" applyFont="1" applyBorder="1" applyAlignment="1">
      <alignment wrapText="1"/>
    </xf>
    <xf numFmtId="0" fontId="23" fillId="25" borderId="28" xfId="0" applyFont="1" applyFill="1" applyBorder="1" applyAlignment="1"/>
    <xf numFmtId="0" fontId="24" fillId="0" borderId="28" xfId="37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8" xfId="37" applyNumberFormat="1" applyFont="1" applyFill="1" applyBorder="1" applyAlignment="1">
      <alignment horizontal="center" wrapText="1"/>
    </xf>
    <xf numFmtId="49" fontId="23" fillId="25" borderId="18" xfId="37" applyNumberFormat="1" applyFont="1" applyFill="1" applyBorder="1" applyAlignment="1">
      <alignment horizontal="center" wrapText="1"/>
    </xf>
    <xf numFmtId="49" fontId="24" fillId="0" borderId="18" xfId="37" applyNumberFormat="1" applyFont="1" applyFill="1" applyBorder="1" applyAlignment="1">
      <alignment horizontal="center" wrapText="1"/>
    </xf>
    <xf numFmtId="49" fontId="24" fillId="25" borderId="18" xfId="37" applyNumberFormat="1" applyFont="1" applyFill="1" applyBorder="1" applyAlignment="1">
      <alignment horizontal="center" wrapText="1"/>
    </xf>
    <xf numFmtId="0" fontId="24" fillId="0" borderId="11" xfId="37" applyFont="1" applyFill="1" applyBorder="1"/>
    <xf numFmtId="0" fontId="23" fillId="0" borderId="12" xfId="37" applyFont="1" applyFill="1" applyBorder="1"/>
    <xf numFmtId="0" fontId="23" fillId="25" borderId="12" xfId="37" applyFont="1" applyFill="1" applyBorder="1"/>
    <xf numFmtId="0" fontId="23" fillId="0" borderId="0" xfId="37" applyFont="1" applyFill="1"/>
    <xf numFmtId="164" fontId="52" fillId="25" borderId="0" xfId="37" applyNumberFormat="1" applyFont="1" applyFill="1"/>
    <xf numFmtId="164" fontId="23" fillId="25" borderId="0" xfId="0" applyNumberFormat="1" applyFont="1" applyFill="1"/>
    <xf numFmtId="164" fontId="23" fillId="0" borderId="0" xfId="0" applyNumberFormat="1" applyFont="1" applyFill="1"/>
    <xf numFmtId="0" fontId="23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169" fontId="24" fillId="0" borderId="24" xfId="0" applyNumberFormat="1" applyFont="1" applyBorder="1"/>
    <xf numFmtId="0" fontId="24" fillId="0" borderId="16" xfId="0" applyFont="1" applyBorder="1" applyAlignment="1">
      <alignment wrapText="1"/>
    </xf>
    <xf numFmtId="172" fontId="24" fillId="0" borderId="24" xfId="0" applyNumberFormat="1" applyFont="1" applyBorder="1" applyAlignment="1"/>
    <xf numFmtId="0" fontId="24" fillId="0" borderId="0" xfId="0" applyFont="1"/>
    <xf numFmtId="0" fontId="23" fillId="0" borderId="16" xfId="0" applyFont="1" applyBorder="1" applyAlignment="1">
      <alignment wrapText="1"/>
    </xf>
    <xf numFmtId="172" fontId="23" fillId="0" borderId="24" xfId="44" applyNumberFormat="1" applyFont="1" applyBorder="1" applyAlignment="1"/>
    <xf numFmtId="173" fontId="24" fillId="0" borderId="24" xfId="44" applyNumberFormat="1" applyFont="1" applyBorder="1" applyAlignment="1">
      <alignment horizontal="center"/>
    </xf>
    <xf numFmtId="49" fontId="23" fillId="0" borderId="16" xfId="0" applyNumberFormat="1" applyFont="1" applyBorder="1"/>
    <xf numFmtId="167" fontId="23" fillId="0" borderId="24" xfId="0" applyNumberFormat="1" applyFont="1" applyBorder="1" applyAlignment="1">
      <alignment horizontal="center"/>
    </xf>
    <xf numFmtId="0" fontId="23" fillId="0" borderId="10" xfId="0" applyFont="1" applyBorder="1"/>
    <xf numFmtId="167" fontId="23" fillId="0" borderId="25" xfId="0" applyNumberFormat="1" applyFont="1" applyBorder="1" applyAlignment="1">
      <alignment horizontal="center"/>
    </xf>
    <xf numFmtId="0" fontId="24" fillId="0" borderId="18" xfId="0" applyFont="1" applyBorder="1"/>
    <xf numFmtId="167" fontId="24" fillId="0" borderId="36" xfId="0" applyNumberFormat="1" applyFont="1" applyBorder="1" applyAlignment="1">
      <alignment horizontal="center"/>
    </xf>
    <xf numFmtId="0" fontId="23" fillId="0" borderId="18" xfId="0" applyFont="1" applyBorder="1"/>
    <xf numFmtId="167" fontId="23" fillId="0" borderId="36" xfId="0" applyNumberFormat="1" applyFon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67" fontId="24" fillId="0" borderId="10" xfId="0" applyNumberFormat="1" applyFont="1" applyBorder="1" applyAlignment="1">
      <alignment horizontal="center"/>
    </xf>
    <xf numFmtId="0" fontId="23" fillId="0" borderId="0" xfId="0" applyFont="1" applyBorder="1"/>
    <xf numFmtId="4" fontId="23" fillId="0" borderId="0" xfId="0" applyNumberFormat="1" applyFont="1" applyBorder="1"/>
    <xf numFmtId="0" fontId="0" fillId="0" borderId="0" xfId="0" applyAlignment="1">
      <alignment horizontal="right"/>
    </xf>
    <xf numFmtId="0" fontId="33" fillId="0" borderId="0" xfId="0" applyFont="1" applyFill="1" applyBorder="1" applyAlignment="1">
      <alignment horizontal="right"/>
    </xf>
    <xf numFmtId="0" fontId="53" fillId="0" borderId="0" xfId="0" applyFont="1"/>
    <xf numFmtId="43" fontId="23" fillId="0" borderId="0" xfId="44" applyFont="1" applyFill="1" applyAlignment="1">
      <alignment horizontal="center"/>
    </xf>
    <xf numFmtId="43" fontId="23" fillId="0" borderId="15" xfId="44" applyFont="1" applyFill="1" applyBorder="1" applyAlignment="1">
      <alignment horizontal="center" vertical="center" wrapText="1"/>
    </xf>
    <xf numFmtId="43" fontId="24" fillId="0" borderId="10" xfId="44" applyFont="1" applyFill="1" applyBorder="1" applyAlignment="1">
      <alignment horizontal="center"/>
    </xf>
    <xf numFmtId="43" fontId="24" fillId="0" borderId="10" xfId="44" applyFont="1" applyFill="1" applyBorder="1" applyAlignment="1">
      <alignment horizontal="center" wrapText="1"/>
    </xf>
    <xf numFmtId="43" fontId="23" fillId="0" borderId="10" xfId="44" applyFont="1" applyFill="1" applyBorder="1" applyAlignment="1">
      <alignment horizontal="center" wrapText="1"/>
    </xf>
    <xf numFmtId="43" fontId="27" fillId="0" borderId="10" xfId="44" applyFont="1" applyFill="1" applyBorder="1" applyAlignment="1">
      <alignment horizontal="center"/>
    </xf>
    <xf numFmtId="43" fontId="26" fillId="0" borderId="10" xfId="44" applyFont="1" applyFill="1" applyBorder="1" applyAlignment="1">
      <alignment horizontal="center"/>
    </xf>
    <xf numFmtId="43" fontId="27" fillId="0" borderId="18" xfId="44" applyFont="1" applyFill="1" applyBorder="1" applyAlignment="1">
      <alignment horizontal="center"/>
    </xf>
    <xf numFmtId="43" fontId="24" fillId="0" borderId="12" xfId="44" applyFont="1" applyFill="1" applyBorder="1" applyAlignment="1">
      <alignment horizontal="center"/>
    </xf>
    <xf numFmtId="43" fontId="21" fillId="0" borderId="0" xfId="44" applyFont="1" applyFill="1" applyAlignment="1">
      <alignment horizontal="center"/>
    </xf>
    <xf numFmtId="43" fontId="37" fillId="0" borderId="0" xfId="44" applyFont="1" applyFill="1" applyAlignment="1">
      <alignment horizontal="center"/>
    </xf>
    <xf numFmtId="170" fontId="23" fillId="0" borderId="10" xfId="44" applyNumberFormat="1" applyFont="1" applyFill="1" applyBorder="1" applyAlignment="1"/>
    <xf numFmtId="49" fontId="32" fillId="25" borderId="10" xfId="0" applyNumberFormat="1" applyFont="1" applyFill="1" applyBorder="1"/>
    <xf numFmtId="0" fontId="54" fillId="29" borderId="0" xfId="0" applyFont="1" applyFill="1"/>
    <xf numFmtId="0" fontId="3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37" applyFont="1" applyFill="1" applyAlignment="1">
      <alignment horizontal="right"/>
    </xf>
    <xf numFmtId="0" fontId="31" fillId="0" borderId="0" xfId="0" applyFont="1" applyAlignment="1">
      <alignment horizontal="right"/>
    </xf>
    <xf numFmtId="0" fontId="21" fillId="0" borderId="0" xfId="46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27" xfId="46" applyFont="1" applyBorder="1" applyAlignment="1">
      <alignment horizontal="center"/>
    </xf>
    <xf numFmtId="0" fontId="23" fillId="0" borderId="28" xfId="46" applyFont="1" applyBorder="1" applyAlignment="1"/>
    <xf numFmtId="0" fontId="23" fillId="0" borderId="13" xfId="46" applyFont="1" applyBorder="1" applyAlignment="1">
      <alignment horizontal="center"/>
    </xf>
    <xf numFmtId="0" fontId="23" fillId="0" borderId="10" xfId="46" applyFont="1" applyBorder="1" applyAlignment="1"/>
    <xf numFmtId="0" fontId="23" fillId="0" borderId="10" xfId="46" applyFont="1" applyBorder="1" applyAlignment="1">
      <alignment horizontal="right" vertical="center" wrapText="1"/>
    </xf>
    <xf numFmtId="43" fontId="23" fillId="0" borderId="10" xfId="44" applyFont="1" applyFill="1" applyBorder="1" applyAlignment="1">
      <alignment horizontal="center" vertical="center" wrapText="1"/>
    </xf>
    <xf numFmtId="0" fontId="23" fillId="0" borderId="0" xfId="37" applyFont="1" applyAlignment="1">
      <alignment horizontal="center"/>
    </xf>
    <xf numFmtId="49" fontId="46" fillId="0" borderId="0" xfId="37" applyNumberFormat="1" applyFont="1" applyFill="1" applyAlignment="1">
      <alignment horizontal="center" wrapText="1"/>
    </xf>
    <xf numFmtId="49" fontId="46" fillId="0" borderId="0" xfId="37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1" fontId="44" fillId="0" borderId="21" xfId="0" applyNumberFormat="1" applyFont="1" applyBorder="1" applyAlignment="1">
      <alignment horizontal="center"/>
    </xf>
    <xf numFmtId="1" fontId="44" fillId="0" borderId="34" xfId="0" applyNumberFormat="1" applyFont="1" applyBorder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65" fontId="45" fillId="0" borderId="21" xfId="0" applyNumberFormat="1" applyFont="1" applyFill="1" applyBorder="1" applyAlignment="1">
      <alignment horizontal="left" vertical="center" wrapText="1"/>
    </xf>
    <xf numFmtId="165" fontId="45" fillId="0" borderId="0" xfId="0" applyNumberFormat="1" applyFont="1" applyFill="1" applyBorder="1" applyAlignment="1">
      <alignment horizontal="left" vertical="center" wrapText="1"/>
    </xf>
    <xf numFmtId="165" fontId="45" fillId="0" borderId="34" xfId="0" applyNumberFormat="1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33" fillId="0" borderId="21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34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2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33" xfId="0" applyFont="1" applyBorder="1" applyAlignment="1">
      <alignment horizontal="left"/>
    </xf>
    <xf numFmtId="0" fontId="55" fillId="0" borderId="0" xfId="38" applyFont="1" applyFill="1"/>
    <xf numFmtId="0" fontId="55" fillId="25" borderId="0" xfId="38" applyFont="1" applyFill="1"/>
    <xf numFmtId="167" fontId="55" fillId="25" borderId="0" xfId="0" applyNumberFormat="1" applyFont="1" applyFill="1"/>
    <xf numFmtId="0" fontId="55" fillId="25" borderId="0" xfId="0" applyFont="1" applyFill="1"/>
    <xf numFmtId="0" fontId="55" fillId="0" borderId="0" xfId="0" applyFont="1" applyFill="1"/>
    <xf numFmtId="0" fontId="55" fillId="0" borderId="0" xfId="37" applyFont="1" applyFill="1" applyAlignment="1">
      <alignment horizontal="left" wrapText="1"/>
    </xf>
    <xf numFmtId="167" fontId="55" fillId="0" borderId="0" xfId="50" applyNumberFormat="1" applyFont="1"/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8"/>
    <cellStyle name="Обычный_доходы бюджета 2" xfId="46"/>
    <cellStyle name="Обычный_Лист1" xfId="37"/>
    <cellStyle name="Обычный_Лист1 2" xfId="50"/>
    <cellStyle name="Обычный_Лист1_доходы бюджета 2" xfId="4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имечание 2" xfId="49"/>
    <cellStyle name="Связанная ячейка" xfId="42" builtinId="24" customBuiltin="1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rillova\obmen\35-2%20&#1089;&#1077;&#1089;&#1089;&#1080;&#1103;\&#1089;&#1077;&#1089;&#1089;&#1080;&#1103;%20&#1072;&#1074;&#1075;&#1091;&#1089;&#1090;%2009.08.12\&#1055;&#1088;&#1080;&#1083;&#1086;&#1078;&#1077;&#1085;&#1080;&#1077;%201,2,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ная часть"/>
      <sheetName val="источники"/>
    </sheetNames>
    <sheetDataSet>
      <sheetData sheetId="0">
        <row r="165">
          <cell r="H165">
            <v>30878.518639999998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opLeftCell="A152" zoomScaleSheetLayoutView="100" workbookViewId="0">
      <selection activeCell="A154" sqref="A154:F154"/>
    </sheetView>
  </sheetViews>
  <sheetFormatPr defaultRowHeight="12.75"/>
  <cols>
    <col min="1" max="1" width="18.28515625" style="41" customWidth="1"/>
    <col min="2" max="2" width="48.140625" style="41" customWidth="1"/>
    <col min="3" max="4" width="17.28515625" style="41" hidden="1" customWidth="1"/>
    <col min="5" max="5" width="17.28515625" style="92" hidden="1" customWidth="1"/>
    <col min="6" max="6" width="19.5703125" style="301" customWidth="1"/>
    <col min="7" max="7" width="13.28515625" style="41" bestFit="1" customWidth="1"/>
    <col min="8" max="16384" width="9.140625" style="41"/>
  </cols>
  <sheetData>
    <row r="1" spans="1:10">
      <c r="A1" s="307" t="s">
        <v>378</v>
      </c>
      <c r="B1" s="307"/>
      <c r="C1" s="307"/>
      <c r="D1" s="307"/>
      <c r="E1" s="307"/>
      <c r="F1" s="307"/>
      <c r="G1" s="16"/>
      <c r="H1" s="40"/>
      <c r="I1" s="16"/>
      <c r="J1" s="16"/>
    </row>
    <row r="2" spans="1:10">
      <c r="A2" s="308"/>
      <c r="B2" s="308"/>
      <c r="C2" s="308"/>
      <c r="D2" s="308"/>
      <c r="E2" s="308"/>
      <c r="F2" s="308"/>
      <c r="G2" s="308"/>
      <c r="H2" s="308"/>
      <c r="I2" s="308"/>
      <c r="J2" s="308"/>
    </row>
    <row r="3" spans="1:10">
      <c r="A3" s="306" t="s">
        <v>630</v>
      </c>
      <c r="B3" s="306"/>
      <c r="C3" s="306"/>
      <c r="D3" s="306"/>
      <c r="E3" s="306"/>
      <c r="F3" s="306"/>
      <c r="G3" s="17"/>
      <c r="H3" s="17"/>
      <c r="I3" s="17"/>
      <c r="J3" s="17"/>
    </row>
    <row r="4" spans="1:10">
      <c r="A4" s="306" t="s">
        <v>632</v>
      </c>
      <c r="B4" s="306"/>
      <c r="C4" s="306"/>
      <c r="D4" s="306"/>
      <c r="E4" s="306"/>
      <c r="F4" s="306"/>
      <c r="G4" s="17"/>
      <c r="H4" s="17"/>
      <c r="I4" s="17"/>
      <c r="J4" s="17"/>
    </row>
    <row r="5" spans="1:10" ht="12.75" customHeight="1">
      <c r="A5" s="310"/>
      <c r="B5" s="310"/>
      <c r="C5" s="310"/>
      <c r="D5" s="310"/>
      <c r="E5" s="310"/>
      <c r="F5" s="310"/>
      <c r="G5" s="18"/>
      <c r="H5" s="18"/>
      <c r="I5" s="18"/>
      <c r="J5" s="18"/>
    </row>
    <row r="6" spans="1:10" ht="12" customHeight="1" thickBot="1">
      <c r="A6" s="42"/>
      <c r="B6" s="43"/>
      <c r="C6" s="42"/>
      <c r="D6" s="42"/>
      <c r="E6" s="44"/>
      <c r="F6" s="291" t="s">
        <v>379</v>
      </c>
    </row>
    <row r="7" spans="1:10" ht="21" customHeight="1">
      <c r="A7" s="311" t="s">
        <v>1</v>
      </c>
      <c r="B7" s="313" t="s">
        <v>2</v>
      </c>
      <c r="C7" s="45" t="s">
        <v>3</v>
      </c>
      <c r="D7" s="46"/>
      <c r="E7" s="315" t="s">
        <v>3</v>
      </c>
      <c r="F7" s="316" t="s">
        <v>3</v>
      </c>
    </row>
    <row r="8" spans="1:10" ht="13.5" hidden="1" customHeight="1" thickBot="1">
      <c r="A8" s="312"/>
      <c r="B8" s="314"/>
      <c r="C8" s="47"/>
      <c r="D8" s="48"/>
      <c r="E8" s="315"/>
      <c r="F8" s="316"/>
    </row>
    <row r="9" spans="1:10" ht="7.5" customHeight="1">
      <c r="A9" s="312"/>
      <c r="B9" s="314"/>
      <c r="C9" s="47"/>
      <c r="D9" s="48"/>
      <c r="E9" s="315"/>
      <c r="F9" s="316"/>
    </row>
    <row r="10" spans="1:10" ht="19.5" hidden="1" customHeight="1">
      <c r="A10" s="312"/>
      <c r="B10" s="314"/>
      <c r="C10" s="49"/>
      <c r="D10" s="50"/>
      <c r="E10" s="51"/>
      <c r="F10" s="292"/>
    </row>
    <row r="11" spans="1:10">
      <c r="A11" s="52">
        <v>1</v>
      </c>
      <c r="B11" s="52">
        <v>2</v>
      </c>
      <c r="C11" s="52">
        <v>3</v>
      </c>
      <c r="D11" s="52">
        <v>4</v>
      </c>
      <c r="E11" s="53">
        <v>3</v>
      </c>
      <c r="F11" s="302">
        <v>3</v>
      </c>
    </row>
    <row r="12" spans="1:10" s="57" customFormat="1">
      <c r="A12" s="54"/>
      <c r="B12" s="54" t="s">
        <v>4</v>
      </c>
      <c r="C12" s="55" t="e">
        <f>#REF!</f>
        <v>#REF!</v>
      </c>
      <c r="D12" s="54"/>
      <c r="E12" s="56">
        <f>E13+E49</f>
        <v>474930.8</v>
      </c>
      <c r="F12" s="293">
        <f>F13+F49</f>
        <v>538576.94144999993</v>
      </c>
    </row>
    <row r="13" spans="1:10" s="57" customFormat="1">
      <c r="A13" s="54"/>
      <c r="B13" s="54" t="s">
        <v>5</v>
      </c>
      <c r="C13" s="55">
        <f>C14+C21+C31+C34+C39+C41+C46</f>
        <v>1021698.3</v>
      </c>
      <c r="D13" s="54"/>
      <c r="E13" s="58">
        <f>E14+E21+E37+E39+E41+E46</f>
        <v>474930.8</v>
      </c>
      <c r="F13" s="293">
        <f>F14+F21+F37+F39+F41+F46</f>
        <v>488117.2160999999</v>
      </c>
      <c r="G13" s="59"/>
    </row>
    <row r="14" spans="1:10" s="57" customFormat="1">
      <c r="A14" s="54" t="s">
        <v>6</v>
      </c>
      <c r="B14" s="54" t="s">
        <v>7</v>
      </c>
      <c r="C14" s="55">
        <f>C15+C16+C17+C18+C19</f>
        <v>923200</v>
      </c>
      <c r="D14" s="60">
        <v>30</v>
      </c>
      <c r="E14" s="58">
        <f>E15+E16+E17+E18</f>
        <v>362288</v>
      </c>
      <c r="F14" s="293">
        <f>F15+F16+F17+F18</f>
        <v>362774.08463999996</v>
      </c>
    </row>
    <row r="15" spans="1:10">
      <c r="A15" s="61" t="s">
        <v>8</v>
      </c>
      <c r="B15" s="61" t="s">
        <v>7</v>
      </c>
      <c r="C15" s="61">
        <v>1370</v>
      </c>
      <c r="D15" s="62">
        <v>30</v>
      </c>
      <c r="E15" s="63">
        <v>361341.9</v>
      </c>
      <c r="F15" s="188">
        <v>355024.38289000001</v>
      </c>
    </row>
    <row r="16" spans="1:10">
      <c r="A16" s="61" t="s">
        <v>393</v>
      </c>
      <c r="B16" s="61" t="s">
        <v>7</v>
      </c>
      <c r="C16" s="64">
        <v>915264</v>
      </c>
      <c r="D16" s="62">
        <v>30</v>
      </c>
      <c r="E16" s="63">
        <v>859.1</v>
      </c>
      <c r="F16" s="188">
        <v>5543.1802600000001</v>
      </c>
    </row>
    <row r="17" spans="1:8">
      <c r="A17" s="61" t="s">
        <v>9</v>
      </c>
      <c r="B17" s="61" t="s">
        <v>7</v>
      </c>
      <c r="C17" s="64">
        <v>6315</v>
      </c>
      <c r="D17" s="62">
        <v>30</v>
      </c>
      <c r="E17" s="63"/>
      <c r="F17" s="188">
        <v>759.01338999999996</v>
      </c>
    </row>
    <row r="18" spans="1:8">
      <c r="A18" s="61" t="s">
        <v>10</v>
      </c>
      <c r="B18" s="61" t="s">
        <v>7</v>
      </c>
      <c r="C18" s="61">
        <v>84</v>
      </c>
      <c r="D18" s="62">
        <v>30</v>
      </c>
      <c r="E18" s="63">
        <v>87</v>
      </c>
      <c r="F18" s="188">
        <v>1447.5081</v>
      </c>
    </row>
    <row r="19" spans="1:8" ht="14.25" hidden="1" customHeight="1">
      <c r="A19" s="61" t="s">
        <v>10</v>
      </c>
      <c r="B19" s="61" t="s">
        <v>7</v>
      </c>
      <c r="C19" s="61">
        <v>167</v>
      </c>
      <c r="D19" s="62">
        <v>30</v>
      </c>
      <c r="E19" s="63"/>
      <c r="F19" s="188"/>
    </row>
    <row r="20" spans="1:8" hidden="1">
      <c r="A20" s="61" t="s">
        <v>11</v>
      </c>
      <c r="B20" s="61" t="s">
        <v>7</v>
      </c>
      <c r="C20" s="61"/>
      <c r="D20" s="61"/>
      <c r="E20" s="53"/>
      <c r="F20" s="188"/>
    </row>
    <row r="21" spans="1:8" ht="18.75" customHeight="1">
      <c r="A21" s="61" t="s">
        <v>12</v>
      </c>
      <c r="B21" s="54" t="s">
        <v>13</v>
      </c>
      <c r="C21" s="61">
        <f>C22+C24+C28+C30</f>
        <v>89760.3</v>
      </c>
      <c r="D21" s="61"/>
      <c r="E21" s="36">
        <f>E22+E23+E24+E25+E26+E27+E28+E29+E30+E36</f>
        <v>112642.8</v>
      </c>
      <c r="F21" s="293">
        <f>F22+F23+F24+F25+F26+F27+F28+F29+F30+F36</f>
        <v>115563.83983999999</v>
      </c>
      <c r="H21" s="102"/>
    </row>
    <row r="22" spans="1:8" ht="22.5">
      <c r="A22" s="61" t="s">
        <v>14</v>
      </c>
      <c r="B22" s="65" t="s">
        <v>15</v>
      </c>
      <c r="C22" s="61">
        <v>43900.3</v>
      </c>
      <c r="D22" s="61">
        <v>90</v>
      </c>
      <c r="E22" s="37">
        <v>59282</v>
      </c>
      <c r="F22" s="188">
        <v>55780.233289999996</v>
      </c>
      <c r="G22" s="102"/>
    </row>
    <row r="23" spans="1:8" ht="22.5">
      <c r="A23" s="61" t="s">
        <v>394</v>
      </c>
      <c r="B23" s="65" t="s">
        <v>15</v>
      </c>
      <c r="C23" s="61"/>
      <c r="D23" s="61"/>
      <c r="E23" s="37"/>
      <c r="F23" s="188">
        <v>-1049.6670300000001</v>
      </c>
    </row>
    <row r="24" spans="1:8" ht="33.75">
      <c r="A24" s="61" t="s">
        <v>16</v>
      </c>
      <c r="B24" s="65" t="s">
        <v>650</v>
      </c>
      <c r="C24" s="61">
        <v>8046</v>
      </c>
      <c r="D24" s="61">
        <v>90</v>
      </c>
      <c r="E24" s="37">
        <v>11583</v>
      </c>
      <c r="F24" s="188">
        <v>8661.2307500000006</v>
      </c>
    </row>
    <row r="25" spans="1:8" ht="45.75" customHeight="1">
      <c r="A25" s="22" t="s">
        <v>17</v>
      </c>
      <c r="B25" s="95" t="s">
        <v>420</v>
      </c>
      <c r="C25" s="61"/>
      <c r="D25" s="61"/>
      <c r="E25" s="37">
        <v>125</v>
      </c>
      <c r="F25" s="188">
        <v>275.42302000000001</v>
      </c>
    </row>
    <row r="26" spans="1:8" ht="22.5">
      <c r="A26" s="61" t="s">
        <v>18</v>
      </c>
      <c r="B26" s="65" t="s">
        <v>19</v>
      </c>
      <c r="C26" s="61"/>
      <c r="D26" s="61"/>
      <c r="E26" s="37">
        <v>60</v>
      </c>
      <c r="F26" s="188">
        <v>224.04204999999999</v>
      </c>
    </row>
    <row r="27" spans="1:8">
      <c r="A27" s="22" t="s">
        <v>20</v>
      </c>
      <c r="B27" s="95" t="s">
        <v>21</v>
      </c>
      <c r="C27" s="61"/>
      <c r="D27" s="61"/>
      <c r="E27" s="37">
        <v>605</v>
      </c>
      <c r="F27" s="188">
        <v>3175.6715399999998</v>
      </c>
    </row>
    <row r="28" spans="1:8" ht="22.5">
      <c r="A28" s="61" t="s">
        <v>22</v>
      </c>
      <c r="B28" s="65" t="s">
        <v>23</v>
      </c>
      <c r="C28" s="61">
        <v>37709</v>
      </c>
      <c r="D28" s="61">
        <v>90</v>
      </c>
      <c r="E28" s="37">
        <v>40935</v>
      </c>
      <c r="F28" s="188">
        <v>48176.344749999997</v>
      </c>
    </row>
    <row r="29" spans="1:8" ht="22.5">
      <c r="A29" s="61" t="s">
        <v>415</v>
      </c>
      <c r="B29" s="65" t="s">
        <v>23</v>
      </c>
      <c r="C29" s="61"/>
      <c r="D29" s="61"/>
      <c r="E29" s="37"/>
      <c r="F29" s="188">
        <v>129.39409000000001</v>
      </c>
    </row>
    <row r="30" spans="1:8">
      <c r="A30" s="61" t="s">
        <v>24</v>
      </c>
      <c r="B30" s="61" t="s">
        <v>25</v>
      </c>
      <c r="C30" s="61">
        <v>105</v>
      </c>
      <c r="D30" s="61">
        <v>60</v>
      </c>
      <c r="E30" s="37">
        <v>52.8</v>
      </c>
      <c r="F30" s="188">
        <v>191.19301999999999</v>
      </c>
    </row>
    <row r="31" spans="1:8" hidden="1">
      <c r="A31" s="61" t="s">
        <v>26</v>
      </c>
      <c r="B31" s="61" t="s">
        <v>27</v>
      </c>
      <c r="C31" s="61">
        <v>0</v>
      </c>
      <c r="D31" s="61"/>
      <c r="E31" s="37"/>
      <c r="F31" s="188"/>
    </row>
    <row r="32" spans="1:8" hidden="1">
      <c r="A32" s="61" t="s">
        <v>28</v>
      </c>
      <c r="B32" s="61" t="s">
        <v>29</v>
      </c>
      <c r="C32" s="61"/>
      <c r="D32" s="61"/>
      <c r="E32" s="37"/>
      <c r="F32" s="188"/>
    </row>
    <row r="33" spans="1:6" hidden="1">
      <c r="A33" s="61" t="s">
        <v>30</v>
      </c>
      <c r="B33" s="61" t="s">
        <v>31</v>
      </c>
      <c r="C33" s="61"/>
      <c r="D33" s="61"/>
      <c r="E33" s="37"/>
      <c r="F33" s="188"/>
    </row>
    <row r="34" spans="1:6" s="57" customFormat="1" hidden="1">
      <c r="A34" s="61" t="s">
        <v>32</v>
      </c>
      <c r="B34" s="61" t="s">
        <v>33</v>
      </c>
      <c r="C34" s="61">
        <f>C35</f>
        <v>0</v>
      </c>
      <c r="D34" s="61"/>
      <c r="E34" s="37"/>
      <c r="F34" s="188"/>
    </row>
    <row r="35" spans="1:6" hidden="1">
      <c r="A35" s="61" t="s">
        <v>34</v>
      </c>
      <c r="B35" s="61" t="s">
        <v>33</v>
      </c>
      <c r="C35" s="61">
        <v>0</v>
      </c>
      <c r="D35" s="61">
        <v>100</v>
      </c>
      <c r="E35" s="37"/>
      <c r="F35" s="188"/>
    </row>
    <row r="36" spans="1:6">
      <c r="A36" s="61" t="s">
        <v>395</v>
      </c>
      <c r="B36" s="61" t="s">
        <v>25</v>
      </c>
      <c r="C36" s="61"/>
      <c r="D36" s="61"/>
      <c r="E36" s="37"/>
      <c r="F36" s="188">
        <v>-2.564E-2</v>
      </c>
    </row>
    <row r="37" spans="1:6" s="67" customFormat="1" ht="67.5">
      <c r="A37" s="66" t="s">
        <v>26</v>
      </c>
      <c r="B37" s="66" t="s">
        <v>397</v>
      </c>
      <c r="C37" s="66"/>
      <c r="D37" s="66"/>
      <c r="E37" s="38">
        <f>E38</f>
        <v>0</v>
      </c>
      <c r="F37" s="294">
        <f>F38</f>
        <v>1.4923999999999999</v>
      </c>
    </row>
    <row r="38" spans="1:6" ht="56.25">
      <c r="A38" s="61" t="s">
        <v>396</v>
      </c>
      <c r="B38" s="65" t="s">
        <v>397</v>
      </c>
      <c r="C38" s="61"/>
      <c r="D38" s="61"/>
      <c r="E38" s="31"/>
      <c r="F38" s="188">
        <v>1.4923999999999999</v>
      </c>
    </row>
    <row r="39" spans="1:6" s="57" customFormat="1">
      <c r="A39" s="54" t="s">
        <v>35</v>
      </c>
      <c r="B39" s="66" t="s">
        <v>36</v>
      </c>
      <c r="C39" s="54">
        <f>C40</f>
        <v>3538</v>
      </c>
      <c r="D39" s="54"/>
      <c r="E39" s="30">
        <f>E40</f>
        <v>0</v>
      </c>
      <c r="F39" s="293">
        <f>1*F40</f>
        <v>3132.3999800000001</v>
      </c>
    </row>
    <row r="40" spans="1:6">
      <c r="A40" s="61" t="s">
        <v>37</v>
      </c>
      <c r="B40" s="61" t="s">
        <v>38</v>
      </c>
      <c r="C40" s="61">
        <v>3538</v>
      </c>
      <c r="D40" s="61">
        <v>100</v>
      </c>
      <c r="E40" s="31"/>
      <c r="F40" s="188">
        <v>3132.3999800000001</v>
      </c>
    </row>
    <row r="41" spans="1:6" s="57" customFormat="1">
      <c r="A41" s="54" t="s">
        <v>39</v>
      </c>
      <c r="B41" s="54" t="s">
        <v>40</v>
      </c>
      <c r="C41" s="55">
        <f>C42+C45</f>
        <v>5200</v>
      </c>
      <c r="D41" s="54"/>
      <c r="E41" s="30">
        <f>E42+E44+E45</f>
        <v>0</v>
      </c>
      <c r="F41" s="293">
        <f>F42+F44+F45</f>
        <v>6641.7789700000003</v>
      </c>
    </row>
    <row r="42" spans="1:6" ht="22.5">
      <c r="A42" s="61" t="s">
        <v>41</v>
      </c>
      <c r="B42" s="65" t="s">
        <v>42</v>
      </c>
      <c r="C42" s="64">
        <v>2000</v>
      </c>
      <c r="D42" s="61">
        <v>100</v>
      </c>
      <c r="E42" s="31"/>
      <c r="F42" s="188">
        <v>4779.7789700000003</v>
      </c>
    </row>
    <row r="43" spans="1:6" hidden="1">
      <c r="A43" s="61" t="s">
        <v>43</v>
      </c>
      <c r="B43" s="65" t="s">
        <v>44</v>
      </c>
      <c r="C43" s="61"/>
      <c r="D43" s="61">
        <v>100</v>
      </c>
      <c r="E43" s="31"/>
      <c r="F43" s="188"/>
    </row>
    <row r="44" spans="1:6" ht="51" customHeight="1">
      <c r="A44" s="61" t="s">
        <v>45</v>
      </c>
      <c r="B44" s="65" t="s">
        <v>46</v>
      </c>
      <c r="C44" s="61"/>
      <c r="D44" s="61"/>
      <c r="E44" s="31"/>
      <c r="F44" s="188">
        <v>1856</v>
      </c>
    </row>
    <row r="45" spans="1:6" ht="22.5">
      <c r="A45" s="61" t="s">
        <v>479</v>
      </c>
      <c r="B45" s="39" t="s">
        <v>480</v>
      </c>
      <c r="C45" s="64">
        <v>3200</v>
      </c>
      <c r="D45" s="61">
        <v>100</v>
      </c>
      <c r="E45" s="31"/>
      <c r="F45" s="188">
        <v>6</v>
      </c>
    </row>
    <row r="46" spans="1:6" s="57" customFormat="1" ht="12.75" customHeight="1">
      <c r="A46" s="54" t="s">
        <v>47</v>
      </c>
      <c r="B46" s="66" t="s">
        <v>48</v>
      </c>
      <c r="C46" s="54"/>
      <c r="D46" s="54"/>
      <c r="E46" s="30">
        <f>E47</f>
        <v>0</v>
      </c>
      <c r="F46" s="293">
        <f>F47+F48</f>
        <v>3.6202700000000001</v>
      </c>
    </row>
    <row r="47" spans="1:6" s="67" customFormat="1" ht="22.5" customHeight="1">
      <c r="A47" s="65" t="s">
        <v>482</v>
      </c>
      <c r="B47" s="39" t="s">
        <v>481</v>
      </c>
      <c r="C47" s="65"/>
      <c r="D47" s="65"/>
      <c r="E47" s="32"/>
      <c r="F47" s="295">
        <v>0.35819000000000001</v>
      </c>
    </row>
    <row r="48" spans="1:6" s="67" customFormat="1" ht="22.5" customHeight="1">
      <c r="A48" s="65" t="s">
        <v>398</v>
      </c>
      <c r="B48" s="39" t="s">
        <v>483</v>
      </c>
      <c r="C48" s="65"/>
      <c r="D48" s="65"/>
      <c r="E48" s="32"/>
      <c r="F48" s="295">
        <v>3.2620800000000001</v>
      </c>
    </row>
    <row r="49" spans="1:6" s="68" customFormat="1" ht="16.5" customHeight="1">
      <c r="A49" s="54"/>
      <c r="B49" s="54" t="s">
        <v>49</v>
      </c>
      <c r="C49" s="55" t="e">
        <f>C50+C56+#REF!</f>
        <v>#REF!</v>
      </c>
      <c r="D49" s="55"/>
      <c r="E49" s="30"/>
      <c r="F49" s="293">
        <f>F50+F56+F62++F65+F72+F88+F89</f>
        <v>50459.725350000001</v>
      </c>
    </row>
    <row r="50" spans="1:6" s="57" customFormat="1" ht="22.5">
      <c r="A50" s="54" t="s">
        <v>50</v>
      </c>
      <c r="B50" s="66" t="s">
        <v>51</v>
      </c>
      <c r="C50" s="54" t="e">
        <f>C54+#REF!+#REF!+C55</f>
        <v>#REF!</v>
      </c>
      <c r="D50" s="54"/>
      <c r="E50" s="30"/>
      <c r="F50" s="293">
        <f>F51+F52+F53+F54+F55</f>
        <v>12314.74387</v>
      </c>
    </row>
    <row r="51" spans="1:6" s="57" customFormat="1" ht="33.75">
      <c r="A51" s="61" t="s">
        <v>484</v>
      </c>
      <c r="B51" s="39" t="s">
        <v>485</v>
      </c>
      <c r="C51" s="54"/>
      <c r="D51" s="54"/>
      <c r="E51" s="30"/>
      <c r="F51" s="188">
        <v>106.22951</v>
      </c>
    </row>
    <row r="52" spans="1:6" s="57" customFormat="1" ht="67.5">
      <c r="A52" s="61" t="s">
        <v>486</v>
      </c>
      <c r="B52" s="103" t="s">
        <v>488</v>
      </c>
      <c r="C52" s="54"/>
      <c r="D52" s="54"/>
      <c r="E52" s="30"/>
      <c r="F52" s="188">
        <v>139.47913</v>
      </c>
    </row>
    <row r="53" spans="1:6" s="57" customFormat="1" ht="56.25">
      <c r="A53" s="61" t="s">
        <v>487</v>
      </c>
      <c r="B53" s="103" t="s">
        <v>489</v>
      </c>
      <c r="C53" s="54"/>
      <c r="D53" s="54"/>
      <c r="E53" s="30"/>
      <c r="F53" s="188">
        <v>8863.6151200000004</v>
      </c>
    </row>
    <row r="54" spans="1:6" ht="33.75">
      <c r="A54" s="61" t="s">
        <v>490</v>
      </c>
      <c r="B54" s="65" t="s">
        <v>52</v>
      </c>
      <c r="C54" s="61">
        <v>2500</v>
      </c>
      <c r="D54" s="61">
        <v>100</v>
      </c>
      <c r="E54" s="31"/>
      <c r="F54" s="188">
        <v>3164.7701099999999</v>
      </c>
    </row>
    <row r="55" spans="1:6" ht="45">
      <c r="A55" s="61" t="s">
        <v>491</v>
      </c>
      <c r="B55" s="39" t="s">
        <v>492</v>
      </c>
      <c r="C55" s="61">
        <v>30</v>
      </c>
      <c r="D55" s="61">
        <v>100</v>
      </c>
      <c r="E55" s="31"/>
      <c r="F55" s="188">
        <v>40.65</v>
      </c>
    </row>
    <row r="56" spans="1:6" s="57" customFormat="1">
      <c r="A56" s="54" t="s">
        <v>53</v>
      </c>
      <c r="B56" s="104" t="s">
        <v>54</v>
      </c>
      <c r="C56" s="54">
        <v>7146</v>
      </c>
      <c r="D56" s="54">
        <v>40</v>
      </c>
      <c r="E56" s="30"/>
      <c r="F56" s="293">
        <f>F57+F58+F59+F60+F61</f>
        <v>8115.03388</v>
      </c>
    </row>
    <row r="57" spans="1:6" s="57" customFormat="1" ht="22.5">
      <c r="A57" s="61" t="s">
        <v>496</v>
      </c>
      <c r="B57" s="39" t="s">
        <v>494</v>
      </c>
      <c r="C57" s="54"/>
      <c r="D57" s="54"/>
      <c r="E57" s="30"/>
      <c r="F57" s="188">
        <v>5639.1112000000003</v>
      </c>
    </row>
    <row r="58" spans="1:6" s="57" customFormat="1" ht="22.5">
      <c r="A58" s="61" t="s">
        <v>497</v>
      </c>
      <c r="B58" s="39" t="s">
        <v>493</v>
      </c>
      <c r="C58" s="54"/>
      <c r="D58" s="54"/>
      <c r="E58" s="30"/>
      <c r="F58" s="188">
        <v>187.26480000000001</v>
      </c>
    </row>
    <row r="59" spans="1:6" s="57" customFormat="1">
      <c r="A59" s="61" t="s">
        <v>498</v>
      </c>
      <c r="B59" s="39" t="s">
        <v>495</v>
      </c>
      <c r="C59" s="54"/>
      <c r="D59" s="54"/>
      <c r="E59" s="30"/>
      <c r="F59" s="188">
        <v>249.36407</v>
      </c>
    </row>
    <row r="60" spans="1:6" s="57" customFormat="1">
      <c r="A60" s="61" t="s">
        <v>499</v>
      </c>
      <c r="B60" s="39" t="s">
        <v>501</v>
      </c>
      <c r="C60" s="54"/>
      <c r="D60" s="54"/>
      <c r="E60" s="30"/>
      <c r="F60" s="188">
        <v>1995.64508</v>
      </c>
    </row>
    <row r="61" spans="1:6" s="57" customFormat="1" ht="22.5">
      <c r="A61" s="61" t="s">
        <v>500</v>
      </c>
      <c r="B61" s="39" t="s">
        <v>502</v>
      </c>
      <c r="C61" s="54"/>
      <c r="D61" s="54"/>
      <c r="E61" s="30"/>
      <c r="F61" s="188">
        <v>43.64873</v>
      </c>
    </row>
    <row r="62" spans="1:6" s="57" customFormat="1" ht="22.5">
      <c r="A62" s="54" t="s">
        <v>505</v>
      </c>
      <c r="B62" s="66" t="s">
        <v>56</v>
      </c>
      <c r="C62" s="54"/>
      <c r="D62" s="54"/>
      <c r="E62" s="30"/>
      <c r="F62" s="293">
        <f>F63+F64</f>
        <v>3995.5410700000002</v>
      </c>
    </row>
    <row r="63" spans="1:6" s="57" customFormat="1" ht="33.75">
      <c r="A63" s="61" t="s">
        <v>506</v>
      </c>
      <c r="B63" s="39" t="s">
        <v>503</v>
      </c>
      <c r="C63" s="54"/>
      <c r="D63" s="54"/>
      <c r="E63" s="30"/>
      <c r="F63" s="188">
        <v>430.38040000000001</v>
      </c>
    </row>
    <row r="64" spans="1:6" s="57" customFormat="1" ht="22.5">
      <c r="A64" s="61" t="s">
        <v>55</v>
      </c>
      <c r="B64" s="39" t="s">
        <v>504</v>
      </c>
      <c r="C64" s="61"/>
      <c r="D64" s="61"/>
      <c r="E64" s="31"/>
      <c r="F64" s="188">
        <v>3565.1606700000002</v>
      </c>
    </row>
    <row r="65" spans="1:6" s="70" customFormat="1" ht="12">
      <c r="A65" s="23" t="s">
        <v>417</v>
      </c>
      <c r="B65" s="25" t="s">
        <v>416</v>
      </c>
      <c r="C65" s="69"/>
      <c r="D65" s="69"/>
      <c r="E65" s="33"/>
      <c r="F65" s="293">
        <f>F66+F67+F68+F69+F70+F71</f>
        <v>13885.57084</v>
      </c>
    </row>
    <row r="66" spans="1:6" ht="67.5">
      <c r="A66" s="61" t="s">
        <v>517</v>
      </c>
      <c r="B66" s="103" t="s">
        <v>507</v>
      </c>
      <c r="C66" s="61"/>
      <c r="D66" s="61"/>
      <c r="E66" s="31"/>
      <c r="F66" s="188">
        <v>25</v>
      </c>
    </row>
    <row r="67" spans="1:6" ht="67.5">
      <c r="A67" s="61" t="s">
        <v>518</v>
      </c>
      <c r="B67" s="103" t="s">
        <v>507</v>
      </c>
      <c r="C67" s="61"/>
      <c r="D67" s="61"/>
      <c r="E67" s="31"/>
      <c r="F67" s="188">
        <v>140.11876000000001</v>
      </c>
    </row>
    <row r="68" spans="1:6" ht="67.5">
      <c r="A68" s="61" t="s">
        <v>57</v>
      </c>
      <c r="B68" s="103" t="s">
        <v>651</v>
      </c>
      <c r="C68" s="61"/>
      <c r="D68" s="61"/>
      <c r="E68" s="31"/>
      <c r="F68" s="188">
        <v>4829.3489099999997</v>
      </c>
    </row>
    <row r="69" spans="1:6" ht="45">
      <c r="A69" s="61" t="s">
        <v>519</v>
      </c>
      <c r="B69" s="39" t="s">
        <v>508</v>
      </c>
      <c r="C69" s="61"/>
      <c r="D69" s="61"/>
      <c r="E69" s="31"/>
      <c r="F69" s="188">
        <v>0.5706</v>
      </c>
    </row>
    <row r="70" spans="1:6" ht="33.75">
      <c r="A70" s="61" t="s">
        <v>58</v>
      </c>
      <c r="B70" s="39" t="s">
        <v>509</v>
      </c>
      <c r="C70" s="61"/>
      <c r="D70" s="61"/>
      <c r="E70" s="31"/>
      <c r="F70" s="188">
        <v>8889.7766800000009</v>
      </c>
    </row>
    <row r="71" spans="1:6" ht="45">
      <c r="A71" s="61" t="s">
        <v>399</v>
      </c>
      <c r="B71" s="39" t="s">
        <v>510</v>
      </c>
      <c r="C71" s="61"/>
      <c r="D71" s="61"/>
      <c r="E71" s="31"/>
      <c r="F71" s="188">
        <v>0.75588999999999995</v>
      </c>
    </row>
    <row r="72" spans="1:6" s="57" customFormat="1">
      <c r="A72" s="54" t="s">
        <v>401</v>
      </c>
      <c r="B72" s="66" t="s">
        <v>402</v>
      </c>
      <c r="C72" s="54"/>
      <c r="D72" s="54"/>
      <c r="E72" s="30"/>
      <c r="F72" s="293">
        <f>F73+F74+F75+F76+F77+F78+F79+F80+F81+F82+F83+F84+F85+F86+F87</f>
        <v>11638.06871</v>
      </c>
    </row>
    <row r="73" spans="1:6" ht="79.5" customHeight="1">
      <c r="A73" s="61" t="s">
        <v>520</v>
      </c>
      <c r="B73" s="103" t="s">
        <v>511</v>
      </c>
      <c r="C73" s="61"/>
      <c r="D73" s="61"/>
      <c r="E73" s="31"/>
      <c r="F73" s="188">
        <v>61.7485</v>
      </c>
    </row>
    <row r="74" spans="1:6" ht="45">
      <c r="A74" s="61" t="s">
        <v>521</v>
      </c>
      <c r="B74" s="39" t="s">
        <v>512</v>
      </c>
      <c r="C74" s="61"/>
      <c r="D74" s="61"/>
      <c r="E74" s="31"/>
      <c r="F74" s="188">
        <v>2.7749999999999999</v>
      </c>
    </row>
    <row r="75" spans="1:6" ht="45">
      <c r="A75" s="61" t="s">
        <v>522</v>
      </c>
      <c r="B75" s="39" t="s">
        <v>513</v>
      </c>
      <c r="C75" s="61"/>
      <c r="D75" s="61"/>
      <c r="E75" s="31"/>
      <c r="F75" s="188">
        <v>10</v>
      </c>
    </row>
    <row r="76" spans="1:6" ht="45">
      <c r="A76" s="61" t="s">
        <v>523</v>
      </c>
      <c r="B76" s="39" t="s">
        <v>514</v>
      </c>
      <c r="C76" s="61"/>
      <c r="D76" s="61"/>
      <c r="E76" s="31"/>
      <c r="F76" s="188">
        <v>39.074359999999999</v>
      </c>
    </row>
    <row r="77" spans="1:6" ht="22.5">
      <c r="A77" s="61" t="s">
        <v>524</v>
      </c>
      <c r="B77" s="65" t="s">
        <v>442</v>
      </c>
      <c r="C77" s="61"/>
      <c r="D77" s="61"/>
      <c r="E77" s="31"/>
      <c r="F77" s="188">
        <v>600</v>
      </c>
    </row>
    <row r="78" spans="1:6" ht="33.75">
      <c r="A78" s="61" t="s">
        <v>400</v>
      </c>
      <c r="B78" s="65" t="s">
        <v>403</v>
      </c>
      <c r="C78" s="61"/>
      <c r="D78" s="61"/>
      <c r="E78" s="31"/>
      <c r="F78" s="188">
        <v>125.59</v>
      </c>
    </row>
    <row r="79" spans="1:6" ht="22.5">
      <c r="A79" s="61" t="s">
        <v>404</v>
      </c>
      <c r="B79" s="65" t="s">
        <v>405</v>
      </c>
      <c r="C79" s="61"/>
      <c r="D79" s="61"/>
      <c r="E79" s="31"/>
      <c r="F79" s="188">
        <v>639.03962999999999</v>
      </c>
    </row>
    <row r="80" spans="1:6" ht="22.5">
      <c r="A80" s="61" t="s">
        <v>408</v>
      </c>
      <c r="B80" s="65" t="s">
        <v>409</v>
      </c>
      <c r="C80" s="61"/>
      <c r="D80" s="61"/>
      <c r="E80" s="31"/>
      <c r="F80" s="188">
        <v>36.5</v>
      </c>
    </row>
    <row r="81" spans="1:7" ht="22.5">
      <c r="A81" s="61" t="s">
        <v>418</v>
      </c>
      <c r="B81" s="65" t="s">
        <v>419</v>
      </c>
      <c r="C81" s="61"/>
      <c r="D81" s="61"/>
      <c r="E81" s="31"/>
      <c r="F81" s="188">
        <v>590.88610000000006</v>
      </c>
    </row>
    <row r="82" spans="1:7" ht="45">
      <c r="A82" s="61" t="s">
        <v>406</v>
      </c>
      <c r="B82" s="65" t="s">
        <v>407</v>
      </c>
      <c r="C82" s="61"/>
      <c r="D82" s="61"/>
      <c r="E82" s="31"/>
      <c r="F82" s="188">
        <v>614.24</v>
      </c>
    </row>
    <row r="83" spans="1:7" ht="45">
      <c r="A83" s="61" t="s">
        <v>525</v>
      </c>
      <c r="B83" s="39" t="s">
        <v>515</v>
      </c>
      <c r="C83" s="61"/>
      <c r="D83" s="61"/>
      <c r="E83" s="31"/>
      <c r="F83" s="188">
        <v>7</v>
      </c>
    </row>
    <row r="84" spans="1:7" ht="22.5">
      <c r="A84" s="61" t="s">
        <v>410</v>
      </c>
      <c r="B84" s="65" t="s">
        <v>411</v>
      </c>
      <c r="C84" s="61"/>
      <c r="D84" s="61"/>
      <c r="E84" s="31"/>
      <c r="F84" s="188">
        <v>4060.8676300000002</v>
      </c>
    </row>
    <row r="85" spans="1:7" ht="56.25">
      <c r="A85" s="61" t="s">
        <v>652</v>
      </c>
      <c r="B85" s="65" t="s">
        <v>443</v>
      </c>
      <c r="C85" s="61"/>
      <c r="D85" s="61"/>
      <c r="E85" s="31"/>
      <c r="F85" s="188">
        <v>4.3</v>
      </c>
    </row>
    <row r="86" spans="1:7" s="71" customFormat="1" ht="33.75">
      <c r="A86" s="65" t="s">
        <v>455</v>
      </c>
      <c r="B86" s="39" t="s">
        <v>516</v>
      </c>
      <c r="C86" s="65"/>
      <c r="D86" s="65"/>
      <c r="E86" s="32"/>
      <c r="F86" s="295">
        <v>1312</v>
      </c>
    </row>
    <row r="87" spans="1:7" ht="33.75">
      <c r="A87" s="61" t="s">
        <v>412</v>
      </c>
      <c r="B87" s="65" t="s">
        <v>413</v>
      </c>
      <c r="C87" s="61"/>
      <c r="D87" s="61"/>
      <c r="E87" s="31"/>
      <c r="F87" s="188">
        <v>3534.0474899999999</v>
      </c>
    </row>
    <row r="88" spans="1:7" s="72" customFormat="1">
      <c r="A88" s="23" t="s">
        <v>526</v>
      </c>
      <c r="B88" s="24" t="s">
        <v>59</v>
      </c>
      <c r="C88" s="54"/>
      <c r="D88" s="54"/>
      <c r="E88" s="30"/>
      <c r="F88" s="293">
        <v>462.60822999999999</v>
      </c>
    </row>
    <row r="89" spans="1:7" s="72" customFormat="1">
      <c r="A89" s="23" t="s">
        <v>527</v>
      </c>
      <c r="B89" s="24" t="s">
        <v>414</v>
      </c>
      <c r="C89" s="54"/>
      <c r="D89" s="54"/>
      <c r="E89" s="30"/>
      <c r="F89" s="293">
        <v>48.158749999999998</v>
      </c>
    </row>
    <row r="90" spans="1:7" s="57" customFormat="1">
      <c r="A90" s="73" t="s">
        <v>60</v>
      </c>
      <c r="B90" s="74" t="s">
        <v>61</v>
      </c>
      <c r="C90" s="54"/>
      <c r="D90" s="54"/>
      <c r="E90" s="30" t="e">
        <f>E91+E114+E120+E136+E147+E148+E149</f>
        <v>#REF!</v>
      </c>
      <c r="F90" s="293">
        <f>F91+F114+F120+F136+F143+F147+F148+F149+F142</f>
        <v>1276734.71991</v>
      </c>
      <c r="G90" s="75"/>
    </row>
    <row r="91" spans="1:7" s="57" customFormat="1" ht="22.5">
      <c r="A91" s="76" t="s">
        <v>62</v>
      </c>
      <c r="B91" s="77" t="s">
        <v>63</v>
      </c>
      <c r="C91" s="78"/>
      <c r="D91" s="78"/>
      <c r="E91" s="30">
        <f>E92+E113</f>
        <v>195932</v>
      </c>
      <c r="F91" s="293">
        <f>F92+F113</f>
        <v>205366.3</v>
      </c>
    </row>
    <row r="92" spans="1:7" ht="22.5">
      <c r="A92" s="79" t="s">
        <v>64</v>
      </c>
      <c r="B92" s="80" t="s">
        <v>65</v>
      </c>
      <c r="C92" s="61"/>
      <c r="D92" s="61"/>
      <c r="E92" s="31">
        <v>191446</v>
      </c>
      <c r="F92" s="296">
        <v>191446</v>
      </c>
    </row>
    <row r="93" spans="1:7" ht="22.5" hidden="1">
      <c r="A93" s="79" t="s">
        <v>64</v>
      </c>
      <c r="B93" s="81" t="s">
        <v>66</v>
      </c>
      <c r="C93" s="82"/>
      <c r="D93" s="82"/>
      <c r="E93" s="31"/>
      <c r="F93" s="296"/>
    </row>
    <row r="94" spans="1:7" ht="22.5" hidden="1">
      <c r="A94" s="79" t="s">
        <v>64</v>
      </c>
      <c r="B94" s="83" t="s">
        <v>67</v>
      </c>
      <c r="C94" s="61"/>
      <c r="D94" s="61"/>
      <c r="E94" s="31"/>
      <c r="F94" s="296">
        <f>F95+F96+F97+F98</f>
        <v>0</v>
      </c>
    </row>
    <row r="95" spans="1:7" ht="22.5" hidden="1">
      <c r="A95" s="79" t="s">
        <v>64</v>
      </c>
      <c r="B95" s="80" t="s">
        <v>68</v>
      </c>
      <c r="C95" s="61"/>
      <c r="D95" s="61"/>
      <c r="E95" s="31"/>
      <c r="F95" s="296"/>
    </row>
    <row r="96" spans="1:7" ht="56.25" hidden="1">
      <c r="A96" s="79" t="s">
        <v>64</v>
      </c>
      <c r="B96" s="80" t="s">
        <v>69</v>
      </c>
      <c r="C96" s="61"/>
      <c r="D96" s="61"/>
      <c r="E96" s="31"/>
      <c r="F96" s="296"/>
    </row>
    <row r="97" spans="1:6" ht="22.5" hidden="1">
      <c r="A97" s="79" t="s">
        <v>64</v>
      </c>
      <c r="B97" s="80" t="s">
        <v>70</v>
      </c>
      <c r="C97" s="61"/>
      <c r="D97" s="61"/>
      <c r="E97" s="31"/>
      <c r="F97" s="296"/>
    </row>
    <row r="98" spans="1:6" hidden="1">
      <c r="A98" s="79" t="s">
        <v>64</v>
      </c>
      <c r="B98" s="80" t="s">
        <v>71</v>
      </c>
      <c r="C98" s="61"/>
      <c r="D98" s="61"/>
      <c r="E98" s="31"/>
      <c r="F98" s="296">
        <f>F100+F101+F102+F103+F104+F105+F106+F107+F108+F109+F110+F111+F112</f>
        <v>0</v>
      </c>
    </row>
    <row r="99" spans="1:6" hidden="1">
      <c r="A99" s="79" t="s">
        <v>64</v>
      </c>
      <c r="B99" s="80" t="s">
        <v>72</v>
      </c>
      <c r="C99" s="61"/>
      <c r="D99" s="61"/>
      <c r="E99" s="31"/>
      <c r="F99" s="296"/>
    </row>
    <row r="100" spans="1:6" ht="56.25" hidden="1">
      <c r="A100" s="79" t="s">
        <v>64</v>
      </c>
      <c r="B100" s="80" t="s">
        <v>73</v>
      </c>
      <c r="C100" s="61"/>
      <c r="D100" s="61"/>
      <c r="E100" s="31"/>
      <c r="F100" s="296"/>
    </row>
    <row r="101" spans="1:6" ht="33.75" hidden="1">
      <c r="A101" s="79" t="s">
        <v>64</v>
      </c>
      <c r="B101" s="80" t="s">
        <v>74</v>
      </c>
      <c r="C101" s="61"/>
      <c r="D101" s="61"/>
      <c r="E101" s="31"/>
      <c r="F101" s="296"/>
    </row>
    <row r="102" spans="1:6" ht="22.5" hidden="1">
      <c r="A102" s="79" t="s">
        <v>64</v>
      </c>
      <c r="B102" s="80" t="s">
        <v>75</v>
      </c>
      <c r="C102" s="61"/>
      <c r="D102" s="61"/>
      <c r="E102" s="31"/>
      <c r="F102" s="296"/>
    </row>
    <row r="103" spans="1:6" ht="33.75" hidden="1">
      <c r="A103" s="79" t="s">
        <v>64</v>
      </c>
      <c r="B103" s="80" t="s">
        <v>76</v>
      </c>
      <c r="C103" s="61"/>
      <c r="D103" s="61"/>
      <c r="E103" s="31"/>
      <c r="F103" s="296"/>
    </row>
    <row r="104" spans="1:6" ht="22.5" hidden="1">
      <c r="A104" s="79" t="s">
        <v>64</v>
      </c>
      <c r="B104" s="81" t="s">
        <v>77</v>
      </c>
      <c r="C104" s="61"/>
      <c r="D104" s="61"/>
      <c r="E104" s="31"/>
      <c r="F104" s="296"/>
    </row>
    <row r="105" spans="1:6" ht="22.5" hidden="1">
      <c r="A105" s="79" t="s">
        <v>64</v>
      </c>
      <c r="B105" s="81" t="s">
        <v>78</v>
      </c>
      <c r="C105" s="61"/>
      <c r="D105" s="61"/>
      <c r="E105" s="31"/>
      <c r="F105" s="296"/>
    </row>
    <row r="106" spans="1:6" ht="45" hidden="1">
      <c r="A106" s="79" t="s">
        <v>64</v>
      </c>
      <c r="B106" s="80" t="s">
        <v>79</v>
      </c>
      <c r="C106" s="61"/>
      <c r="D106" s="61"/>
      <c r="E106" s="31"/>
      <c r="F106" s="296"/>
    </row>
    <row r="107" spans="1:6" ht="67.5" hidden="1">
      <c r="A107" s="79" t="s">
        <v>64</v>
      </c>
      <c r="B107" s="80" t="s">
        <v>80</v>
      </c>
      <c r="C107" s="61"/>
      <c r="D107" s="61"/>
      <c r="E107" s="31"/>
      <c r="F107" s="296"/>
    </row>
    <row r="108" spans="1:6" ht="45" hidden="1">
      <c r="A108" s="79" t="s">
        <v>64</v>
      </c>
      <c r="B108" s="80" t="s">
        <v>81</v>
      </c>
      <c r="C108" s="61"/>
      <c r="D108" s="61"/>
      <c r="E108" s="31"/>
      <c r="F108" s="296"/>
    </row>
    <row r="109" spans="1:6" ht="33.75" hidden="1">
      <c r="A109" s="79" t="s">
        <v>64</v>
      </c>
      <c r="B109" s="80" t="s">
        <v>82</v>
      </c>
      <c r="C109" s="61"/>
      <c r="D109" s="61"/>
      <c r="E109" s="31"/>
      <c r="F109" s="296"/>
    </row>
    <row r="110" spans="1:6" ht="33.75" hidden="1">
      <c r="A110" s="79" t="s">
        <v>64</v>
      </c>
      <c r="B110" s="80" t="s">
        <v>83</v>
      </c>
      <c r="C110" s="61"/>
      <c r="D110" s="61"/>
      <c r="E110" s="31"/>
      <c r="F110" s="296"/>
    </row>
    <row r="111" spans="1:6" ht="56.25" hidden="1">
      <c r="A111" s="79" t="s">
        <v>64</v>
      </c>
      <c r="B111" s="80" t="s">
        <v>84</v>
      </c>
      <c r="C111" s="61"/>
      <c r="D111" s="61"/>
      <c r="E111" s="31"/>
      <c r="F111" s="296"/>
    </row>
    <row r="112" spans="1:6" ht="56.25" hidden="1">
      <c r="A112" s="79" t="s">
        <v>64</v>
      </c>
      <c r="B112" s="80" t="s">
        <v>85</v>
      </c>
      <c r="C112" s="61"/>
      <c r="D112" s="61"/>
      <c r="E112" s="31"/>
      <c r="F112" s="296"/>
    </row>
    <row r="113" spans="1:6" ht="22.5">
      <c r="A113" s="79" t="s">
        <v>421</v>
      </c>
      <c r="B113" s="21" t="s">
        <v>422</v>
      </c>
      <c r="C113" s="61"/>
      <c r="D113" s="61"/>
      <c r="E113" s="31">
        <v>4486</v>
      </c>
      <c r="F113" s="296">
        <v>13920.3</v>
      </c>
    </row>
    <row r="114" spans="1:6" ht="33.75">
      <c r="A114" s="26" t="s">
        <v>86</v>
      </c>
      <c r="B114" s="1" t="s">
        <v>67</v>
      </c>
      <c r="C114" s="61"/>
      <c r="D114" s="61"/>
      <c r="E114" s="30" t="e">
        <f>#REF!+E118+E119</f>
        <v>#REF!</v>
      </c>
      <c r="F114" s="293">
        <f>F115+F116+F117+F118+F119</f>
        <v>122306.22736999999</v>
      </c>
    </row>
    <row r="115" spans="1:6" ht="22.5">
      <c r="A115" s="27" t="s">
        <v>445</v>
      </c>
      <c r="B115" s="39" t="s">
        <v>446</v>
      </c>
      <c r="C115" s="61"/>
      <c r="D115" s="61"/>
      <c r="E115" s="31"/>
      <c r="F115" s="296">
        <v>2010.83033</v>
      </c>
    </row>
    <row r="116" spans="1:6" ht="45">
      <c r="A116" s="27" t="s">
        <v>528</v>
      </c>
      <c r="B116" s="39" t="s">
        <v>530</v>
      </c>
      <c r="C116" s="61"/>
      <c r="D116" s="61"/>
      <c r="E116" s="31"/>
      <c r="F116" s="296">
        <v>200</v>
      </c>
    </row>
    <row r="117" spans="1:6" ht="22.5">
      <c r="A117" s="27" t="s">
        <v>529</v>
      </c>
      <c r="B117" s="39" t="s">
        <v>531</v>
      </c>
      <c r="C117" s="61"/>
      <c r="D117" s="61"/>
      <c r="E117" s="31"/>
      <c r="F117" s="296">
        <v>2363.3964000000001</v>
      </c>
    </row>
    <row r="118" spans="1:6" s="84" customFormat="1" ht="22.5">
      <c r="A118" s="27" t="s">
        <v>87</v>
      </c>
      <c r="B118" s="2" t="s">
        <v>88</v>
      </c>
      <c r="C118" s="61"/>
      <c r="D118" s="61"/>
      <c r="E118" s="31">
        <v>6060</v>
      </c>
      <c r="F118" s="296">
        <v>6060</v>
      </c>
    </row>
    <row r="119" spans="1:6">
      <c r="A119" s="27" t="s">
        <v>89</v>
      </c>
      <c r="B119" s="303" t="s">
        <v>386</v>
      </c>
      <c r="C119" s="61"/>
      <c r="D119" s="61"/>
      <c r="E119" s="31">
        <v>66406.429999999993</v>
      </c>
      <c r="F119" s="296">
        <v>111672.00064</v>
      </c>
    </row>
    <row r="120" spans="1:6" ht="40.5" customHeight="1">
      <c r="A120" s="26" t="s">
        <v>90</v>
      </c>
      <c r="B120" s="77" t="s">
        <v>91</v>
      </c>
      <c r="C120" s="61"/>
      <c r="D120" s="61"/>
      <c r="E120" s="30">
        <f>E121+E122+E123+E124+E125+E126+E127+E128+E129</f>
        <v>788728.28999999992</v>
      </c>
      <c r="F120" s="297">
        <f>F121+F122+F123+F124+F125+F126+F127+F128+F129</f>
        <v>947203.92697999999</v>
      </c>
    </row>
    <row r="121" spans="1:6" ht="33.75">
      <c r="A121" s="28" t="s">
        <v>92</v>
      </c>
      <c r="B121" s="80" t="s">
        <v>93</v>
      </c>
      <c r="C121" s="61"/>
      <c r="D121" s="61"/>
      <c r="E121" s="31">
        <v>200</v>
      </c>
      <c r="F121" s="296">
        <v>225.05887999999999</v>
      </c>
    </row>
    <row r="122" spans="1:6" ht="45">
      <c r="A122" s="65" t="s">
        <v>94</v>
      </c>
      <c r="B122" s="65" t="s">
        <v>95</v>
      </c>
      <c r="C122" s="61"/>
      <c r="D122" s="61"/>
      <c r="E122" s="31">
        <v>24.4</v>
      </c>
      <c r="F122" s="296">
        <v>24.4</v>
      </c>
    </row>
    <row r="123" spans="1:6" ht="33.75">
      <c r="A123" s="28" t="s">
        <v>96</v>
      </c>
      <c r="B123" s="80" t="s">
        <v>97</v>
      </c>
      <c r="C123" s="61"/>
      <c r="D123" s="61"/>
      <c r="E123" s="31">
        <v>2211.92</v>
      </c>
      <c r="F123" s="188">
        <v>2211.9160000000002</v>
      </c>
    </row>
    <row r="124" spans="1:6" ht="33.75">
      <c r="A124" s="27" t="s">
        <v>98</v>
      </c>
      <c r="B124" s="80" t="s">
        <v>99</v>
      </c>
      <c r="C124" s="61"/>
      <c r="D124" s="61"/>
      <c r="E124" s="31">
        <v>521.02</v>
      </c>
      <c r="F124" s="296">
        <v>521.024</v>
      </c>
    </row>
    <row r="125" spans="1:6" ht="33.75">
      <c r="A125" s="27" t="s">
        <v>100</v>
      </c>
      <c r="B125" s="80" t="s">
        <v>101</v>
      </c>
      <c r="C125" s="61"/>
      <c r="D125" s="61"/>
      <c r="E125" s="31">
        <v>7400</v>
      </c>
      <c r="F125" s="296">
        <v>7439.8</v>
      </c>
    </row>
    <row r="126" spans="1:6" ht="33.75">
      <c r="A126" s="29" t="s">
        <v>387</v>
      </c>
      <c r="B126" s="39" t="s">
        <v>532</v>
      </c>
      <c r="C126" s="61"/>
      <c r="D126" s="61"/>
      <c r="E126" s="31">
        <v>717745.2</v>
      </c>
      <c r="F126" s="296">
        <v>765820.03899999999</v>
      </c>
    </row>
    <row r="127" spans="1:6" ht="33.75">
      <c r="A127" s="27" t="s">
        <v>102</v>
      </c>
      <c r="B127" s="80" t="s">
        <v>103</v>
      </c>
      <c r="C127" s="61"/>
      <c r="D127" s="61"/>
      <c r="E127" s="31">
        <v>25200.73</v>
      </c>
      <c r="F127" s="296">
        <v>134550.39999999999</v>
      </c>
    </row>
    <row r="128" spans="1:6" ht="33.75">
      <c r="A128" s="27" t="s">
        <v>104</v>
      </c>
      <c r="B128" s="85" t="s">
        <v>105</v>
      </c>
      <c r="C128" s="61"/>
      <c r="D128" s="61"/>
      <c r="E128" s="31">
        <v>25442.42</v>
      </c>
      <c r="F128" s="296">
        <v>26971.153999999999</v>
      </c>
    </row>
    <row r="129" spans="1:8" ht="56.25">
      <c r="A129" s="27" t="s">
        <v>106</v>
      </c>
      <c r="B129" s="80" t="s">
        <v>107</v>
      </c>
      <c r="C129" s="61"/>
      <c r="D129" s="61"/>
      <c r="E129" s="31">
        <v>9982.6</v>
      </c>
      <c r="F129" s="188">
        <v>9440.1350999999995</v>
      </c>
    </row>
    <row r="130" spans="1:8" ht="45" hidden="1">
      <c r="A130" s="27" t="s">
        <v>108</v>
      </c>
      <c r="B130" s="3" t="s">
        <v>109</v>
      </c>
      <c r="C130" s="61"/>
      <c r="D130" s="61"/>
      <c r="E130" s="31"/>
      <c r="F130" s="296"/>
    </row>
    <row r="131" spans="1:8" ht="45" hidden="1">
      <c r="A131" s="27" t="s">
        <v>110</v>
      </c>
      <c r="B131" s="3" t="s">
        <v>109</v>
      </c>
      <c r="C131" s="61"/>
      <c r="D131" s="61"/>
      <c r="E131" s="31"/>
      <c r="F131" s="296"/>
    </row>
    <row r="132" spans="1:8" ht="45" hidden="1">
      <c r="A132" s="27" t="s">
        <v>111</v>
      </c>
      <c r="B132" s="3" t="s">
        <v>109</v>
      </c>
      <c r="C132" s="61"/>
      <c r="D132" s="61"/>
      <c r="E132" s="31"/>
      <c r="F132" s="296"/>
    </row>
    <row r="133" spans="1:8" ht="45" hidden="1">
      <c r="A133" s="27" t="s">
        <v>112</v>
      </c>
      <c r="B133" s="3" t="s">
        <v>109</v>
      </c>
      <c r="C133" s="61"/>
      <c r="D133" s="61"/>
      <c r="E133" s="31"/>
      <c r="F133" s="296"/>
    </row>
    <row r="134" spans="1:8" ht="45" hidden="1">
      <c r="A134" s="27" t="s">
        <v>113</v>
      </c>
      <c r="B134" s="3" t="s">
        <v>109</v>
      </c>
      <c r="C134" s="61"/>
      <c r="D134" s="61"/>
      <c r="E134" s="31"/>
      <c r="F134" s="296"/>
    </row>
    <row r="135" spans="1:8" ht="56.25" hidden="1">
      <c r="A135" s="27" t="s">
        <v>114</v>
      </c>
      <c r="B135" s="3" t="s">
        <v>115</v>
      </c>
      <c r="C135" s="61"/>
      <c r="D135" s="61"/>
      <c r="E135" s="31"/>
      <c r="F135" s="296"/>
    </row>
    <row r="136" spans="1:8">
      <c r="A136" s="27" t="s">
        <v>116</v>
      </c>
      <c r="B136" s="1" t="s">
        <v>117</v>
      </c>
      <c r="C136" s="61"/>
      <c r="D136" s="61"/>
      <c r="E136" s="30">
        <f>E138+E137</f>
        <v>14294.41</v>
      </c>
      <c r="F136" s="293">
        <f>F137+F138+F139+F140</f>
        <v>22047.006000000001</v>
      </c>
    </row>
    <row r="137" spans="1:8" ht="45">
      <c r="A137" s="27" t="s">
        <v>423</v>
      </c>
      <c r="B137" s="21" t="s">
        <v>424</v>
      </c>
      <c r="C137" s="61"/>
      <c r="D137" s="61"/>
      <c r="E137" s="31">
        <v>12873.3</v>
      </c>
      <c r="F137" s="296">
        <v>20122.400000000001</v>
      </c>
    </row>
    <row r="138" spans="1:8" ht="56.25">
      <c r="A138" s="27" t="s">
        <v>118</v>
      </c>
      <c r="B138" s="2" t="s">
        <v>119</v>
      </c>
      <c r="C138" s="61"/>
      <c r="D138" s="61"/>
      <c r="E138" s="31">
        <v>1421.11</v>
      </c>
      <c r="F138" s="296">
        <v>1421.106</v>
      </c>
      <c r="H138" s="86"/>
    </row>
    <row r="139" spans="1:8" ht="33.75">
      <c r="A139" s="27" t="s">
        <v>533</v>
      </c>
      <c r="B139" s="39" t="s">
        <v>537</v>
      </c>
      <c r="C139" s="87"/>
      <c r="D139" s="87"/>
      <c r="E139" s="34"/>
      <c r="F139" s="298">
        <v>112.6</v>
      </c>
      <c r="H139" s="86"/>
    </row>
    <row r="140" spans="1:8" ht="22.5">
      <c r="A140" s="27" t="s">
        <v>534</v>
      </c>
      <c r="B140" s="39" t="s">
        <v>538</v>
      </c>
      <c r="C140" s="87"/>
      <c r="D140" s="87"/>
      <c r="E140" s="34"/>
      <c r="F140" s="298">
        <v>390.9</v>
      </c>
      <c r="H140" s="86"/>
    </row>
    <row r="141" spans="1:8" ht="22.5">
      <c r="A141" s="27" t="s">
        <v>545</v>
      </c>
      <c r="B141" s="39" t="s">
        <v>546</v>
      </c>
      <c r="C141" s="87"/>
      <c r="D141" s="87"/>
      <c r="E141" s="34"/>
      <c r="F141" s="298">
        <f>F142</f>
        <v>1633.501</v>
      </c>
      <c r="H141" s="86"/>
    </row>
    <row r="142" spans="1:8" ht="33.75">
      <c r="A142" s="27" t="s">
        <v>535</v>
      </c>
      <c r="B142" s="39" t="s">
        <v>539</v>
      </c>
      <c r="C142" s="87"/>
      <c r="D142" s="87"/>
      <c r="E142" s="34"/>
      <c r="F142" s="298">
        <v>1633.501</v>
      </c>
      <c r="H142" s="86"/>
    </row>
    <row r="143" spans="1:8" ht="22.5">
      <c r="A143" s="27" t="s">
        <v>542</v>
      </c>
      <c r="B143" s="39" t="s">
        <v>541</v>
      </c>
      <c r="C143" s="87"/>
      <c r="D143" s="87"/>
      <c r="E143" s="34"/>
      <c r="F143" s="298">
        <f>F144+F145</f>
        <v>2466.4989999999998</v>
      </c>
      <c r="H143" s="86"/>
    </row>
    <row r="144" spans="1:8" ht="27.75" customHeight="1">
      <c r="A144" s="27" t="s">
        <v>536</v>
      </c>
      <c r="B144" s="39" t="s">
        <v>540</v>
      </c>
      <c r="C144" s="87"/>
      <c r="D144" s="87"/>
      <c r="E144" s="34"/>
      <c r="F144" s="298">
        <v>50</v>
      </c>
      <c r="H144" s="86"/>
    </row>
    <row r="145" spans="1:8" ht="33.75" customHeight="1">
      <c r="A145" s="27" t="s">
        <v>543</v>
      </c>
      <c r="B145" s="39" t="s">
        <v>544</v>
      </c>
      <c r="C145" s="87"/>
      <c r="D145" s="87"/>
      <c r="E145" s="34"/>
      <c r="F145" s="298">
        <v>2416.4989999999998</v>
      </c>
      <c r="H145" s="86"/>
    </row>
    <row r="146" spans="1:8" ht="33.75" customHeight="1">
      <c r="A146" s="27" t="s">
        <v>547</v>
      </c>
      <c r="B146" s="39" t="s">
        <v>548</v>
      </c>
      <c r="C146" s="87"/>
      <c r="D146" s="87"/>
      <c r="E146" s="34"/>
      <c r="F146" s="298">
        <f>F147+F148</f>
        <v>1114.5355</v>
      </c>
      <c r="H146" s="86"/>
    </row>
    <row r="147" spans="1:8" ht="42.75" customHeight="1">
      <c r="A147" s="20" t="s">
        <v>447</v>
      </c>
      <c r="B147" s="21" t="s">
        <v>388</v>
      </c>
      <c r="C147" s="87"/>
      <c r="D147" s="87"/>
      <c r="E147" s="34"/>
      <c r="F147" s="298">
        <v>989.57095000000004</v>
      </c>
      <c r="H147" s="86"/>
    </row>
    <row r="148" spans="1:8" ht="22.5">
      <c r="A148" s="20" t="s">
        <v>391</v>
      </c>
      <c r="B148" s="21" t="s">
        <v>389</v>
      </c>
      <c r="C148" s="87"/>
      <c r="D148" s="87"/>
      <c r="E148" s="34"/>
      <c r="F148" s="298">
        <v>124.96455</v>
      </c>
      <c r="H148" s="86"/>
    </row>
    <row r="149" spans="1:8" ht="33.75">
      <c r="A149" s="20" t="s">
        <v>392</v>
      </c>
      <c r="B149" s="21" t="s">
        <v>390</v>
      </c>
      <c r="C149" s="87"/>
      <c r="D149" s="87"/>
      <c r="E149" s="34"/>
      <c r="F149" s="298">
        <v>-25403.27594</v>
      </c>
      <c r="H149" s="86"/>
    </row>
    <row r="150" spans="1:8" s="57" customFormat="1" ht="13.5" thickBot="1">
      <c r="A150" s="88"/>
      <c r="B150" s="89" t="s">
        <v>120</v>
      </c>
      <c r="C150" s="89"/>
      <c r="D150" s="89"/>
      <c r="E150" s="35"/>
      <c r="F150" s="299">
        <f>F12+F90</f>
        <v>1815311.6613599998</v>
      </c>
    </row>
    <row r="151" spans="1:8">
      <c r="A151" s="90"/>
      <c r="B151" s="90"/>
      <c r="C151" s="90"/>
      <c r="D151" s="90"/>
      <c r="E151" s="91"/>
      <c r="F151" s="291"/>
    </row>
    <row r="152" spans="1:8">
      <c r="A152" s="42"/>
      <c r="B152" s="42"/>
      <c r="C152" s="42"/>
      <c r="D152" s="42"/>
      <c r="E152" s="44"/>
      <c r="F152" s="300"/>
    </row>
    <row r="153" spans="1:8">
      <c r="A153" s="309"/>
      <c r="B153" s="309"/>
      <c r="C153" s="309"/>
      <c r="D153" s="309"/>
      <c r="E153" s="309"/>
      <c r="F153" s="309"/>
    </row>
    <row r="154" spans="1:8">
      <c r="A154" s="309" t="s">
        <v>655</v>
      </c>
      <c r="B154" s="309"/>
      <c r="C154" s="309"/>
      <c r="D154" s="309"/>
      <c r="E154" s="309"/>
      <c r="F154" s="309"/>
    </row>
    <row r="155" spans="1:8">
      <c r="A155" s="42"/>
      <c r="B155" s="42"/>
      <c r="C155" s="42"/>
      <c r="D155" s="42"/>
      <c r="E155" s="44"/>
      <c r="F155" s="300"/>
    </row>
    <row r="156" spans="1:8">
      <c r="A156" s="42"/>
      <c r="B156" s="42"/>
      <c r="C156" s="42"/>
      <c r="D156" s="42"/>
      <c r="E156" s="44"/>
      <c r="F156" s="300"/>
    </row>
    <row r="157" spans="1:8">
      <c r="A157" s="42"/>
      <c r="B157" s="42"/>
      <c r="C157" s="42"/>
      <c r="D157" s="42"/>
      <c r="E157" s="44"/>
      <c r="F157" s="300"/>
    </row>
  </sheetData>
  <mergeCells count="11">
    <mergeCell ref="A3:F3"/>
    <mergeCell ref="A1:F1"/>
    <mergeCell ref="A2:J2"/>
    <mergeCell ref="A153:F153"/>
    <mergeCell ref="A154:F154"/>
    <mergeCell ref="A4:F4"/>
    <mergeCell ref="A5:F5"/>
    <mergeCell ref="A7:A10"/>
    <mergeCell ref="B7:B10"/>
    <mergeCell ref="E7:E9"/>
    <mergeCell ref="F7:F9"/>
  </mergeCells>
  <pageMargins left="0.74803149606299213" right="0.74803149606299213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2"/>
  <sheetViews>
    <sheetView topLeftCell="A496" zoomScaleSheetLayoutView="100" zoomScalePageLayoutView="120" workbookViewId="0">
      <selection activeCell="T509" sqref="T509"/>
    </sheetView>
  </sheetViews>
  <sheetFormatPr defaultRowHeight="12.75"/>
  <cols>
    <col min="1" max="1" width="52.42578125" style="4" customWidth="1"/>
    <col min="2" max="2" width="5.140625" style="4" customWidth="1"/>
    <col min="3" max="3" width="5" style="4" customWidth="1"/>
    <col min="4" max="4" width="3.7109375" style="4" customWidth="1"/>
    <col min="5" max="5" width="15.85546875" style="4" customWidth="1"/>
    <col min="6" max="6" width="5" style="12" customWidth="1"/>
    <col min="7" max="7" width="13.85546875" style="12" hidden="1" customWidth="1"/>
    <col min="8" max="8" width="14.140625" style="12" hidden="1" customWidth="1"/>
    <col min="9" max="9" width="14.85546875" style="12" hidden="1" customWidth="1"/>
    <col min="10" max="15" width="13.85546875" style="12" hidden="1" customWidth="1"/>
    <col min="16" max="17" width="13.85546875" style="5" hidden="1" customWidth="1"/>
    <col min="18" max="19" width="13.85546875" style="12" hidden="1" customWidth="1"/>
    <col min="20" max="20" width="21.28515625" style="5" customWidth="1"/>
    <col min="21" max="21" width="14.85546875" style="4" bestFit="1" customWidth="1"/>
    <col min="22" max="23" width="13.28515625" style="4" bestFit="1" customWidth="1"/>
    <col min="24" max="26" width="9.140625" style="4"/>
    <col min="27" max="27" width="12.140625" style="4" bestFit="1" customWidth="1"/>
    <col min="28" max="256" width="9.140625" style="4"/>
    <col min="257" max="257" width="54.5703125" style="4" customWidth="1"/>
    <col min="258" max="258" width="5.140625" style="4" customWidth="1"/>
    <col min="259" max="259" width="5" style="4" customWidth="1"/>
    <col min="260" max="260" width="3.7109375" style="4" customWidth="1"/>
    <col min="261" max="261" width="25" style="4" customWidth="1"/>
    <col min="262" max="262" width="5" style="4" customWidth="1"/>
    <col min="263" max="275" width="0" style="4" hidden="1" customWidth="1"/>
    <col min="276" max="276" width="20.42578125" style="4" customWidth="1"/>
    <col min="277" max="277" width="14.85546875" style="4" bestFit="1" customWidth="1"/>
    <col min="278" max="279" width="13.28515625" style="4" bestFit="1" customWidth="1"/>
    <col min="280" max="282" width="9.140625" style="4"/>
    <col min="283" max="283" width="12.140625" style="4" bestFit="1" customWidth="1"/>
    <col min="284" max="512" width="9.140625" style="4"/>
    <col min="513" max="513" width="54.5703125" style="4" customWidth="1"/>
    <col min="514" max="514" width="5.140625" style="4" customWidth="1"/>
    <col min="515" max="515" width="5" style="4" customWidth="1"/>
    <col min="516" max="516" width="3.7109375" style="4" customWidth="1"/>
    <col min="517" max="517" width="25" style="4" customWidth="1"/>
    <col min="518" max="518" width="5" style="4" customWidth="1"/>
    <col min="519" max="531" width="0" style="4" hidden="1" customWidth="1"/>
    <col min="532" max="532" width="20.42578125" style="4" customWidth="1"/>
    <col min="533" max="533" width="14.85546875" style="4" bestFit="1" customWidth="1"/>
    <col min="534" max="535" width="13.28515625" style="4" bestFit="1" customWidth="1"/>
    <col min="536" max="538" width="9.140625" style="4"/>
    <col min="539" max="539" width="12.140625" style="4" bestFit="1" customWidth="1"/>
    <col min="540" max="768" width="9.140625" style="4"/>
    <col min="769" max="769" width="54.5703125" style="4" customWidth="1"/>
    <col min="770" max="770" width="5.140625" style="4" customWidth="1"/>
    <col min="771" max="771" width="5" style="4" customWidth="1"/>
    <col min="772" max="772" width="3.7109375" style="4" customWidth="1"/>
    <col min="773" max="773" width="25" style="4" customWidth="1"/>
    <col min="774" max="774" width="5" style="4" customWidth="1"/>
    <col min="775" max="787" width="0" style="4" hidden="1" customWidth="1"/>
    <col min="788" max="788" width="20.42578125" style="4" customWidth="1"/>
    <col min="789" max="789" width="14.85546875" style="4" bestFit="1" customWidth="1"/>
    <col min="790" max="791" width="13.28515625" style="4" bestFit="1" customWidth="1"/>
    <col min="792" max="794" width="9.140625" style="4"/>
    <col min="795" max="795" width="12.140625" style="4" bestFit="1" customWidth="1"/>
    <col min="796" max="1024" width="9.140625" style="4"/>
    <col min="1025" max="1025" width="54.5703125" style="4" customWidth="1"/>
    <col min="1026" max="1026" width="5.140625" style="4" customWidth="1"/>
    <col min="1027" max="1027" width="5" style="4" customWidth="1"/>
    <col min="1028" max="1028" width="3.7109375" style="4" customWidth="1"/>
    <col min="1029" max="1029" width="25" style="4" customWidth="1"/>
    <col min="1030" max="1030" width="5" style="4" customWidth="1"/>
    <col min="1031" max="1043" width="0" style="4" hidden="1" customWidth="1"/>
    <col min="1044" max="1044" width="20.42578125" style="4" customWidth="1"/>
    <col min="1045" max="1045" width="14.85546875" style="4" bestFit="1" customWidth="1"/>
    <col min="1046" max="1047" width="13.28515625" style="4" bestFit="1" customWidth="1"/>
    <col min="1048" max="1050" width="9.140625" style="4"/>
    <col min="1051" max="1051" width="12.140625" style="4" bestFit="1" customWidth="1"/>
    <col min="1052" max="1280" width="9.140625" style="4"/>
    <col min="1281" max="1281" width="54.5703125" style="4" customWidth="1"/>
    <col min="1282" max="1282" width="5.140625" style="4" customWidth="1"/>
    <col min="1283" max="1283" width="5" style="4" customWidth="1"/>
    <col min="1284" max="1284" width="3.7109375" style="4" customWidth="1"/>
    <col min="1285" max="1285" width="25" style="4" customWidth="1"/>
    <col min="1286" max="1286" width="5" style="4" customWidth="1"/>
    <col min="1287" max="1299" width="0" style="4" hidden="1" customWidth="1"/>
    <col min="1300" max="1300" width="20.42578125" style="4" customWidth="1"/>
    <col min="1301" max="1301" width="14.85546875" style="4" bestFit="1" customWidth="1"/>
    <col min="1302" max="1303" width="13.28515625" style="4" bestFit="1" customWidth="1"/>
    <col min="1304" max="1306" width="9.140625" style="4"/>
    <col min="1307" max="1307" width="12.140625" style="4" bestFit="1" customWidth="1"/>
    <col min="1308" max="1536" width="9.140625" style="4"/>
    <col min="1537" max="1537" width="54.5703125" style="4" customWidth="1"/>
    <col min="1538" max="1538" width="5.140625" style="4" customWidth="1"/>
    <col min="1539" max="1539" width="5" style="4" customWidth="1"/>
    <col min="1540" max="1540" width="3.7109375" style="4" customWidth="1"/>
    <col min="1541" max="1541" width="25" style="4" customWidth="1"/>
    <col min="1542" max="1542" width="5" style="4" customWidth="1"/>
    <col min="1543" max="1555" width="0" style="4" hidden="1" customWidth="1"/>
    <col min="1556" max="1556" width="20.42578125" style="4" customWidth="1"/>
    <col min="1557" max="1557" width="14.85546875" style="4" bestFit="1" customWidth="1"/>
    <col min="1558" max="1559" width="13.28515625" style="4" bestFit="1" customWidth="1"/>
    <col min="1560" max="1562" width="9.140625" style="4"/>
    <col min="1563" max="1563" width="12.140625" style="4" bestFit="1" customWidth="1"/>
    <col min="1564" max="1792" width="9.140625" style="4"/>
    <col min="1793" max="1793" width="54.5703125" style="4" customWidth="1"/>
    <col min="1794" max="1794" width="5.140625" style="4" customWidth="1"/>
    <col min="1795" max="1795" width="5" style="4" customWidth="1"/>
    <col min="1796" max="1796" width="3.7109375" style="4" customWidth="1"/>
    <col min="1797" max="1797" width="25" style="4" customWidth="1"/>
    <col min="1798" max="1798" width="5" style="4" customWidth="1"/>
    <col min="1799" max="1811" width="0" style="4" hidden="1" customWidth="1"/>
    <col min="1812" max="1812" width="20.42578125" style="4" customWidth="1"/>
    <col min="1813" max="1813" width="14.85546875" style="4" bestFit="1" customWidth="1"/>
    <col min="1814" max="1815" width="13.28515625" style="4" bestFit="1" customWidth="1"/>
    <col min="1816" max="1818" width="9.140625" style="4"/>
    <col min="1819" max="1819" width="12.140625" style="4" bestFit="1" customWidth="1"/>
    <col min="1820" max="2048" width="9.140625" style="4"/>
    <col min="2049" max="2049" width="54.5703125" style="4" customWidth="1"/>
    <col min="2050" max="2050" width="5.140625" style="4" customWidth="1"/>
    <col min="2051" max="2051" width="5" style="4" customWidth="1"/>
    <col min="2052" max="2052" width="3.7109375" style="4" customWidth="1"/>
    <col min="2053" max="2053" width="25" style="4" customWidth="1"/>
    <col min="2054" max="2054" width="5" style="4" customWidth="1"/>
    <col min="2055" max="2067" width="0" style="4" hidden="1" customWidth="1"/>
    <col min="2068" max="2068" width="20.42578125" style="4" customWidth="1"/>
    <col min="2069" max="2069" width="14.85546875" style="4" bestFit="1" customWidth="1"/>
    <col min="2070" max="2071" width="13.28515625" style="4" bestFit="1" customWidth="1"/>
    <col min="2072" max="2074" width="9.140625" style="4"/>
    <col min="2075" max="2075" width="12.140625" style="4" bestFit="1" customWidth="1"/>
    <col min="2076" max="2304" width="9.140625" style="4"/>
    <col min="2305" max="2305" width="54.5703125" style="4" customWidth="1"/>
    <col min="2306" max="2306" width="5.140625" style="4" customWidth="1"/>
    <col min="2307" max="2307" width="5" style="4" customWidth="1"/>
    <col min="2308" max="2308" width="3.7109375" style="4" customWidth="1"/>
    <col min="2309" max="2309" width="25" style="4" customWidth="1"/>
    <col min="2310" max="2310" width="5" style="4" customWidth="1"/>
    <col min="2311" max="2323" width="0" style="4" hidden="1" customWidth="1"/>
    <col min="2324" max="2324" width="20.42578125" style="4" customWidth="1"/>
    <col min="2325" max="2325" width="14.85546875" style="4" bestFit="1" customWidth="1"/>
    <col min="2326" max="2327" width="13.28515625" style="4" bestFit="1" customWidth="1"/>
    <col min="2328" max="2330" width="9.140625" style="4"/>
    <col min="2331" max="2331" width="12.140625" style="4" bestFit="1" customWidth="1"/>
    <col min="2332" max="2560" width="9.140625" style="4"/>
    <col min="2561" max="2561" width="54.5703125" style="4" customWidth="1"/>
    <col min="2562" max="2562" width="5.140625" style="4" customWidth="1"/>
    <col min="2563" max="2563" width="5" style="4" customWidth="1"/>
    <col min="2564" max="2564" width="3.7109375" style="4" customWidth="1"/>
    <col min="2565" max="2565" width="25" style="4" customWidth="1"/>
    <col min="2566" max="2566" width="5" style="4" customWidth="1"/>
    <col min="2567" max="2579" width="0" style="4" hidden="1" customWidth="1"/>
    <col min="2580" max="2580" width="20.42578125" style="4" customWidth="1"/>
    <col min="2581" max="2581" width="14.85546875" style="4" bestFit="1" customWidth="1"/>
    <col min="2582" max="2583" width="13.28515625" style="4" bestFit="1" customWidth="1"/>
    <col min="2584" max="2586" width="9.140625" style="4"/>
    <col min="2587" max="2587" width="12.140625" style="4" bestFit="1" customWidth="1"/>
    <col min="2588" max="2816" width="9.140625" style="4"/>
    <col min="2817" max="2817" width="54.5703125" style="4" customWidth="1"/>
    <col min="2818" max="2818" width="5.140625" style="4" customWidth="1"/>
    <col min="2819" max="2819" width="5" style="4" customWidth="1"/>
    <col min="2820" max="2820" width="3.7109375" style="4" customWidth="1"/>
    <col min="2821" max="2821" width="25" style="4" customWidth="1"/>
    <col min="2822" max="2822" width="5" style="4" customWidth="1"/>
    <col min="2823" max="2835" width="0" style="4" hidden="1" customWidth="1"/>
    <col min="2836" max="2836" width="20.42578125" style="4" customWidth="1"/>
    <col min="2837" max="2837" width="14.85546875" style="4" bestFit="1" customWidth="1"/>
    <col min="2838" max="2839" width="13.28515625" style="4" bestFit="1" customWidth="1"/>
    <col min="2840" max="2842" width="9.140625" style="4"/>
    <col min="2843" max="2843" width="12.140625" style="4" bestFit="1" customWidth="1"/>
    <col min="2844" max="3072" width="9.140625" style="4"/>
    <col min="3073" max="3073" width="54.5703125" style="4" customWidth="1"/>
    <col min="3074" max="3074" width="5.140625" style="4" customWidth="1"/>
    <col min="3075" max="3075" width="5" style="4" customWidth="1"/>
    <col min="3076" max="3076" width="3.7109375" style="4" customWidth="1"/>
    <col min="3077" max="3077" width="25" style="4" customWidth="1"/>
    <col min="3078" max="3078" width="5" style="4" customWidth="1"/>
    <col min="3079" max="3091" width="0" style="4" hidden="1" customWidth="1"/>
    <col min="3092" max="3092" width="20.42578125" style="4" customWidth="1"/>
    <col min="3093" max="3093" width="14.85546875" style="4" bestFit="1" customWidth="1"/>
    <col min="3094" max="3095" width="13.28515625" style="4" bestFit="1" customWidth="1"/>
    <col min="3096" max="3098" width="9.140625" style="4"/>
    <col min="3099" max="3099" width="12.140625" style="4" bestFit="1" customWidth="1"/>
    <col min="3100" max="3328" width="9.140625" style="4"/>
    <col min="3329" max="3329" width="54.5703125" style="4" customWidth="1"/>
    <col min="3330" max="3330" width="5.140625" style="4" customWidth="1"/>
    <col min="3331" max="3331" width="5" style="4" customWidth="1"/>
    <col min="3332" max="3332" width="3.7109375" style="4" customWidth="1"/>
    <col min="3333" max="3333" width="25" style="4" customWidth="1"/>
    <col min="3334" max="3334" width="5" style="4" customWidth="1"/>
    <col min="3335" max="3347" width="0" style="4" hidden="1" customWidth="1"/>
    <col min="3348" max="3348" width="20.42578125" style="4" customWidth="1"/>
    <col min="3349" max="3349" width="14.85546875" style="4" bestFit="1" customWidth="1"/>
    <col min="3350" max="3351" width="13.28515625" style="4" bestFit="1" customWidth="1"/>
    <col min="3352" max="3354" width="9.140625" style="4"/>
    <col min="3355" max="3355" width="12.140625" style="4" bestFit="1" customWidth="1"/>
    <col min="3356" max="3584" width="9.140625" style="4"/>
    <col min="3585" max="3585" width="54.5703125" style="4" customWidth="1"/>
    <col min="3586" max="3586" width="5.140625" style="4" customWidth="1"/>
    <col min="3587" max="3587" width="5" style="4" customWidth="1"/>
    <col min="3588" max="3588" width="3.7109375" style="4" customWidth="1"/>
    <col min="3589" max="3589" width="25" style="4" customWidth="1"/>
    <col min="3590" max="3590" width="5" style="4" customWidth="1"/>
    <col min="3591" max="3603" width="0" style="4" hidden="1" customWidth="1"/>
    <col min="3604" max="3604" width="20.42578125" style="4" customWidth="1"/>
    <col min="3605" max="3605" width="14.85546875" style="4" bestFit="1" customWidth="1"/>
    <col min="3606" max="3607" width="13.28515625" style="4" bestFit="1" customWidth="1"/>
    <col min="3608" max="3610" width="9.140625" style="4"/>
    <col min="3611" max="3611" width="12.140625" style="4" bestFit="1" customWidth="1"/>
    <col min="3612" max="3840" width="9.140625" style="4"/>
    <col min="3841" max="3841" width="54.5703125" style="4" customWidth="1"/>
    <col min="3842" max="3842" width="5.140625" style="4" customWidth="1"/>
    <col min="3843" max="3843" width="5" style="4" customWidth="1"/>
    <col min="3844" max="3844" width="3.7109375" style="4" customWidth="1"/>
    <col min="3845" max="3845" width="25" style="4" customWidth="1"/>
    <col min="3846" max="3846" width="5" style="4" customWidth="1"/>
    <col min="3847" max="3859" width="0" style="4" hidden="1" customWidth="1"/>
    <col min="3860" max="3860" width="20.42578125" style="4" customWidth="1"/>
    <col min="3861" max="3861" width="14.85546875" style="4" bestFit="1" customWidth="1"/>
    <col min="3862" max="3863" width="13.28515625" style="4" bestFit="1" customWidth="1"/>
    <col min="3864" max="3866" width="9.140625" style="4"/>
    <col min="3867" max="3867" width="12.140625" style="4" bestFit="1" customWidth="1"/>
    <col min="3868" max="4096" width="9.140625" style="4"/>
    <col min="4097" max="4097" width="54.5703125" style="4" customWidth="1"/>
    <col min="4098" max="4098" width="5.140625" style="4" customWidth="1"/>
    <col min="4099" max="4099" width="5" style="4" customWidth="1"/>
    <col min="4100" max="4100" width="3.7109375" style="4" customWidth="1"/>
    <col min="4101" max="4101" width="25" style="4" customWidth="1"/>
    <col min="4102" max="4102" width="5" style="4" customWidth="1"/>
    <col min="4103" max="4115" width="0" style="4" hidden="1" customWidth="1"/>
    <col min="4116" max="4116" width="20.42578125" style="4" customWidth="1"/>
    <col min="4117" max="4117" width="14.85546875" style="4" bestFit="1" customWidth="1"/>
    <col min="4118" max="4119" width="13.28515625" style="4" bestFit="1" customWidth="1"/>
    <col min="4120" max="4122" width="9.140625" style="4"/>
    <col min="4123" max="4123" width="12.140625" style="4" bestFit="1" customWidth="1"/>
    <col min="4124" max="4352" width="9.140625" style="4"/>
    <col min="4353" max="4353" width="54.5703125" style="4" customWidth="1"/>
    <col min="4354" max="4354" width="5.140625" style="4" customWidth="1"/>
    <col min="4355" max="4355" width="5" style="4" customWidth="1"/>
    <col min="4356" max="4356" width="3.7109375" style="4" customWidth="1"/>
    <col min="4357" max="4357" width="25" style="4" customWidth="1"/>
    <col min="4358" max="4358" width="5" style="4" customWidth="1"/>
    <col min="4359" max="4371" width="0" style="4" hidden="1" customWidth="1"/>
    <col min="4372" max="4372" width="20.42578125" style="4" customWidth="1"/>
    <col min="4373" max="4373" width="14.85546875" style="4" bestFit="1" customWidth="1"/>
    <col min="4374" max="4375" width="13.28515625" style="4" bestFit="1" customWidth="1"/>
    <col min="4376" max="4378" width="9.140625" style="4"/>
    <col min="4379" max="4379" width="12.140625" style="4" bestFit="1" customWidth="1"/>
    <col min="4380" max="4608" width="9.140625" style="4"/>
    <col min="4609" max="4609" width="54.5703125" style="4" customWidth="1"/>
    <col min="4610" max="4610" width="5.140625" style="4" customWidth="1"/>
    <col min="4611" max="4611" width="5" style="4" customWidth="1"/>
    <col min="4612" max="4612" width="3.7109375" style="4" customWidth="1"/>
    <col min="4613" max="4613" width="25" style="4" customWidth="1"/>
    <col min="4614" max="4614" width="5" style="4" customWidth="1"/>
    <col min="4615" max="4627" width="0" style="4" hidden="1" customWidth="1"/>
    <col min="4628" max="4628" width="20.42578125" style="4" customWidth="1"/>
    <col min="4629" max="4629" width="14.85546875" style="4" bestFit="1" customWidth="1"/>
    <col min="4630" max="4631" width="13.28515625" style="4" bestFit="1" customWidth="1"/>
    <col min="4632" max="4634" width="9.140625" style="4"/>
    <col min="4635" max="4635" width="12.140625" style="4" bestFit="1" customWidth="1"/>
    <col min="4636" max="4864" width="9.140625" style="4"/>
    <col min="4865" max="4865" width="54.5703125" style="4" customWidth="1"/>
    <col min="4866" max="4866" width="5.140625" style="4" customWidth="1"/>
    <col min="4867" max="4867" width="5" style="4" customWidth="1"/>
    <col min="4868" max="4868" width="3.7109375" style="4" customWidth="1"/>
    <col min="4869" max="4869" width="25" style="4" customWidth="1"/>
    <col min="4870" max="4870" width="5" style="4" customWidth="1"/>
    <col min="4871" max="4883" width="0" style="4" hidden="1" customWidth="1"/>
    <col min="4884" max="4884" width="20.42578125" style="4" customWidth="1"/>
    <col min="4885" max="4885" width="14.85546875" style="4" bestFit="1" customWidth="1"/>
    <col min="4886" max="4887" width="13.28515625" style="4" bestFit="1" customWidth="1"/>
    <col min="4888" max="4890" width="9.140625" style="4"/>
    <col min="4891" max="4891" width="12.140625" style="4" bestFit="1" customWidth="1"/>
    <col min="4892" max="5120" width="9.140625" style="4"/>
    <col min="5121" max="5121" width="54.5703125" style="4" customWidth="1"/>
    <col min="5122" max="5122" width="5.140625" style="4" customWidth="1"/>
    <col min="5123" max="5123" width="5" style="4" customWidth="1"/>
    <col min="5124" max="5124" width="3.7109375" style="4" customWidth="1"/>
    <col min="5125" max="5125" width="25" style="4" customWidth="1"/>
    <col min="5126" max="5126" width="5" style="4" customWidth="1"/>
    <col min="5127" max="5139" width="0" style="4" hidden="1" customWidth="1"/>
    <col min="5140" max="5140" width="20.42578125" style="4" customWidth="1"/>
    <col min="5141" max="5141" width="14.85546875" style="4" bestFit="1" customWidth="1"/>
    <col min="5142" max="5143" width="13.28515625" style="4" bestFit="1" customWidth="1"/>
    <col min="5144" max="5146" width="9.140625" style="4"/>
    <col min="5147" max="5147" width="12.140625" style="4" bestFit="1" customWidth="1"/>
    <col min="5148" max="5376" width="9.140625" style="4"/>
    <col min="5377" max="5377" width="54.5703125" style="4" customWidth="1"/>
    <col min="5378" max="5378" width="5.140625" style="4" customWidth="1"/>
    <col min="5379" max="5379" width="5" style="4" customWidth="1"/>
    <col min="5380" max="5380" width="3.7109375" style="4" customWidth="1"/>
    <col min="5381" max="5381" width="25" style="4" customWidth="1"/>
    <col min="5382" max="5382" width="5" style="4" customWidth="1"/>
    <col min="5383" max="5395" width="0" style="4" hidden="1" customWidth="1"/>
    <col min="5396" max="5396" width="20.42578125" style="4" customWidth="1"/>
    <col min="5397" max="5397" width="14.85546875" style="4" bestFit="1" customWidth="1"/>
    <col min="5398" max="5399" width="13.28515625" style="4" bestFit="1" customWidth="1"/>
    <col min="5400" max="5402" width="9.140625" style="4"/>
    <col min="5403" max="5403" width="12.140625" style="4" bestFit="1" customWidth="1"/>
    <col min="5404" max="5632" width="9.140625" style="4"/>
    <col min="5633" max="5633" width="54.5703125" style="4" customWidth="1"/>
    <col min="5634" max="5634" width="5.140625" style="4" customWidth="1"/>
    <col min="5635" max="5635" width="5" style="4" customWidth="1"/>
    <col min="5636" max="5636" width="3.7109375" style="4" customWidth="1"/>
    <col min="5637" max="5637" width="25" style="4" customWidth="1"/>
    <col min="5638" max="5638" width="5" style="4" customWidth="1"/>
    <col min="5639" max="5651" width="0" style="4" hidden="1" customWidth="1"/>
    <col min="5652" max="5652" width="20.42578125" style="4" customWidth="1"/>
    <col min="5653" max="5653" width="14.85546875" style="4" bestFit="1" customWidth="1"/>
    <col min="5654" max="5655" width="13.28515625" style="4" bestFit="1" customWidth="1"/>
    <col min="5656" max="5658" width="9.140625" style="4"/>
    <col min="5659" max="5659" width="12.140625" style="4" bestFit="1" customWidth="1"/>
    <col min="5660" max="5888" width="9.140625" style="4"/>
    <col min="5889" max="5889" width="54.5703125" style="4" customWidth="1"/>
    <col min="5890" max="5890" width="5.140625" style="4" customWidth="1"/>
    <col min="5891" max="5891" width="5" style="4" customWidth="1"/>
    <col min="5892" max="5892" width="3.7109375" style="4" customWidth="1"/>
    <col min="5893" max="5893" width="25" style="4" customWidth="1"/>
    <col min="5894" max="5894" width="5" style="4" customWidth="1"/>
    <col min="5895" max="5907" width="0" style="4" hidden="1" customWidth="1"/>
    <col min="5908" max="5908" width="20.42578125" style="4" customWidth="1"/>
    <col min="5909" max="5909" width="14.85546875" style="4" bestFit="1" customWidth="1"/>
    <col min="5910" max="5911" width="13.28515625" style="4" bestFit="1" customWidth="1"/>
    <col min="5912" max="5914" width="9.140625" style="4"/>
    <col min="5915" max="5915" width="12.140625" style="4" bestFit="1" customWidth="1"/>
    <col min="5916" max="6144" width="9.140625" style="4"/>
    <col min="6145" max="6145" width="54.5703125" style="4" customWidth="1"/>
    <col min="6146" max="6146" width="5.140625" style="4" customWidth="1"/>
    <col min="6147" max="6147" width="5" style="4" customWidth="1"/>
    <col min="6148" max="6148" width="3.7109375" style="4" customWidth="1"/>
    <col min="6149" max="6149" width="25" style="4" customWidth="1"/>
    <col min="6150" max="6150" width="5" style="4" customWidth="1"/>
    <col min="6151" max="6163" width="0" style="4" hidden="1" customWidth="1"/>
    <col min="6164" max="6164" width="20.42578125" style="4" customWidth="1"/>
    <col min="6165" max="6165" width="14.85546875" style="4" bestFit="1" customWidth="1"/>
    <col min="6166" max="6167" width="13.28515625" style="4" bestFit="1" customWidth="1"/>
    <col min="6168" max="6170" width="9.140625" style="4"/>
    <col min="6171" max="6171" width="12.140625" style="4" bestFit="1" customWidth="1"/>
    <col min="6172" max="6400" width="9.140625" style="4"/>
    <col min="6401" max="6401" width="54.5703125" style="4" customWidth="1"/>
    <col min="6402" max="6402" width="5.140625" style="4" customWidth="1"/>
    <col min="6403" max="6403" width="5" style="4" customWidth="1"/>
    <col min="6404" max="6404" width="3.7109375" style="4" customWidth="1"/>
    <col min="6405" max="6405" width="25" style="4" customWidth="1"/>
    <col min="6406" max="6406" width="5" style="4" customWidth="1"/>
    <col min="6407" max="6419" width="0" style="4" hidden="1" customWidth="1"/>
    <col min="6420" max="6420" width="20.42578125" style="4" customWidth="1"/>
    <col min="6421" max="6421" width="14.85546875" style="4" bestFit="1" customWidth="1"/>
    <col min="6422" max="6423" width="13.28515625" style="4" bestFit="1" customWidth="1"/>
    <col min="6424" max="6426" width="9.140625" style="4"/>
    <col min="6427" max="6427" width="12.140625" style="4" bestFit="1" customWidth="1"/>
    <col min="6428" max="6656" width="9.140625" style="4"/>
    <col min="6657" max="6657" width="54.5703125" style="4" customWidth="1"/>
    <col min="6658" max="6658" width="5.140625" style="4" customWidth="1"/>
    <col min="6659" max="6659" width="5" style="4" customWidth="1"/>
    <col min="6660" max="6660" width="3.7109375" style="4" customWidth="1"/>
    <col min="6661" max="6661" width="25" style="4" customWidth="1"/>
    <col min="6662" max="6662" width="5" style="4" customWidth="1"/>
    <col min="6663" max="6675" width="0" style="4" hidden="1" customWidth="1"/>
    <col min="6676" max="6676" width="20.42578125" style="4" customWidth="1"/>
    <col min="6677" max="6677" width="14.85546875" style="4" bestFit="1" customWidth="1"/>
    <col min="6678" max="6679" width="13.28515625" style="4" bestFit="1" customWidth="1"/>
    <col min="6680" max="6682" width="9.140625" style="4"/>
    <col min="6683" max="6683" width="12.140625" style="4" bestFit="1" customWidth="1"/>
    <col min="6684" max="6912" width="9.140625" style="4"/>
    <col min="6913" max="6913" width="54.5703125" style="4" customWidth="1"/>
    <col min="6914" max="6914" width="5.140625" style="4" customWidth="1"/>
    <col min="6915" max="6915" width="5" style="4" customWidth="1"/>
    <col min="6916" max="6916" width="3.7109375" style="4" customWidth="1"/>
    <col min="6917" max="6917" width="25" style="4" customWidth="1"/>
    <col min="6918" max="6918" width="5" style="4" customWidth="1"/>
    <col min="6919" max="6931" width="0" style="4" hidden="1" customWidth="1"/>
    <col min="6932" max="6932" width="20.42578125" style="4" customWidth="1"/>
    <col min="6933" max="6933" width="14.85546875" style="4" bestFit="1" customWidth="1"/>
    <col min="6934" max="6935" width="13.28515625" style="4" bestFit="1" customWidth="1"/>
    <col min="6936" max="6938" width="9.140625" style="4"/>
    <col min="6939" max="6939" width="12.140625" style="4" bestFit="1" customWidth="1"/>
    <col min="6940" max="7168" width="9.140625" style="4"/>
    <col min="7169" max="7169" width="54.5703125" style="4" customWidth="1"/>
    <col min="7170" max="7170" width="5.140625" style="4" customWidth="1"/>
    <col min="7171" max="7171" width="5" style="4" customWidth="1"/>
    <col min="7172" max="7172" width="3.7109375" style="4" customWidth="1"/>
    <col min="7173" max="7173" width="25" style="4" customWidth="1"/>
    <col min="7174" max="7174" width="5" style="4" customWidth="1"/>
    <col min="7175" max="7187" width="0" style="4" hidden="1" customWidth="1"/>
    <col min="7188" max="7188" width="20.42578125" style="4" customWidth="1"/>
    <col min="7189" max="7189" width="14.85546875" style="4" bestFit="1" customWidth="1"/>
    <col min="7190" max="7191" width="13.28515625" style="4" bestFit="1" customWidth="1"/>
    <col min="7192" max="7194" width="9.140625" style="4"/>
    <col min="7195" max="7195" width="12.140625" style="4" bestFit="1" customWidth="1"/>
    <col min="7196" max="7424" width="9.140625" style="4"/>
    <col min="7425" max="7425" width="54.5703125" style="4" customWidth="1"/>
    <col min="7426" max="7426" width="5.140625" style="4" customWidth="1"/>
    <col min="7427" max="7427" width="5" style="4" customWidth="1"/>
    <col min="7428" max="7428" width="3.7109375" style="4" customWidth="1"/>
    <col min="7429" max="7429" width="25" style="4" customWidth="1"/>
    <col min="7430" max="7430" width="5" style="4" customWidth="1"/>
    <col min="7431" max="7443" width="0" style="4" hidden="1" customWidth="1"/>
    <col min="7444" max="7444" width="20.42578125" style="4" customWidth="1"/>
    <col min="7445" max="7445" width="14.85546875" style="4" bestFit="1" customWidth="1"/>
    <col min="7446" max="7447" width="13.28515625" style="4" bestFit="1" customWidth="1"/>
    <col min="7448" max="7450" width="9.140625" style="4"/>
    <col min="7451" max="7451" width="12.140625" style="4" bestFit="1" customWidth="1"/>
    <col min="7452" max="7680" width="9.140625" style="4"/>
    <col min="7681" max="7681" width="54.5703125" style="4" customWidth="1"/>
    <col min="7682" max="7682" width="5.140625" style="4" customWidth="1"/>
    <col min="7683" max="7683" width="5" style="4" customWidth="1"/>
    <col min="7684" max="7684" width="3.7109375" style="4" customWidth="1"/>
    <col min="7685" max="7685" width="25" style="4" customWidth="1"/>
    <col min="7686" max="7686" width="5" style="4" customWidth="1"/>
    <col min="7687" max="7699" width="0" style="4" hidden="1" customWidth="1"/>
    <col min="7700" max="7700" width="20.42578125" style="4" customWidth="1"/>
    <col min="7701" max="7701" width="14.85546875" style="4" bestFit="1" customWidth="1"/>
    <col min="7702" max="7703" width="13.28515625" style="4" bestFit="1" customWidth="1"/>
    <col min="7704" max="7706" width="9.140625" style="4"/>
    <col min="7707" max="7707" width="12.140625" style="4" bestFit="1" customWidth="1"/>
    <col min="7708" max="7936" width="9.140625" style="4"/>
    <col min="7937" max="7937" width="54.5703125" style="4" customWidth="1"/>
    <col min="7938" max="7938" width="5.140625" style="4" customWidth="1"/>
    <col min="7939" max="7939" width="5" style="4" customWidth="1"/>
    <col min="7940" max="7940" width="3.7109375" style="4" customWidth="1"/>
    <col min="7941" max="7941" width="25" style="4" customWidth="1"/>
    <col min="7942" max="7942" width="5" style="4" customWidth="1"/>
    <col min="7943" max="7955" width="0" style="4" hidden="1" customWidth="1"/>
    <col min="7956" max="7956" width="20.42578125" style="4" customWidth="1"/>
    <col min="7957" max="7957" width="14.85546875" style="4" bestFit="1" customWidth="1"/>
    <col min="7958" max="7959" width="13.28515625" style="4" bestFit="1" customWidth="1"/>
    <col min="7960" max="7962" width="9.140625" style="4"/>
    <col min="7963" max="7963" width="12.140625" style="4" bestFit="1" customWidth="1"/>
    <col min="7964" max="8192" width="9.140625" style="4"/>
    <col min="8193" max="8193" width="54.5703125" style="4" customWidth="1"/>
    <col min="8194" max="8194" width="5.140625" style="4" customWidth="1"/>
    <col min="8195" max="8195" width="5" style="4" customWidth="1"/>
    <col min="8196" max="8196" width="3.7109375" style="4" customWidth="1"/>
    <col min="8197" max="8197" width="25" style="4" customWidth="1"/>
    <col min="8198" max="8198" width="5" style="4" customWidth="1"/>
    <col min="8199" max="8211" width="0" style="4" hidden="1" customWidth="1"/>
    <col min="8212" max="8212" width="20.42578125" style="4" customWidth="1"/>
    <col min="8213" max="8213" width="14.85546875" style="4" bestFit="1" customWidth="1"/>
    <col min="8214" max="8215" width="13.28515625" style="4" bestFit="1" customWidth="1"/>
    <col min="8216" max="8218" width="9.140625" style="4"/>
    <col min="8219" max="8219" width="12.140625" style="4" bestFit="1" customWidth="1"/>
    <col min="8220" max="8448" width="9.140625" style="4"/>
    <col min="8449" max="8449" width="54.5703125" style="4" customWidth="1"/>
    <col min="8450" max="8450" width="5.140625" style="4" customWidth="1"/>
    <col min="8451" max="8451" width="5" style="4" customWidth="1"/>
    <col min="8452" max="8452" width="3.7109375" style="4" customWidth="1"/>
    <col min="8453" max="8453" width="25" style="4" customWidth="1"/>
    <col min="8454" max="8454" width="5" style="4" customWidth="1"/>
    <col min="8455" max="8467" width="0" style="4" hidden="1" customWidth="1"/>
    <col min="8468" max="8468" width="20.42578125" style="4" customWidth="1"/>
    <col min="8469" max="8469" width="14.85546875" style="4" bestFit="1" customWidth="1"/>
    <col min="8470" max="8471" width="13.28515625" style="4" bestFit="1" customWidth="1"/>
    <col min="8472" max="8474" width="9.140625" style="4"/>
    <col min="8475" max="8475" width="12.140625" style="4" bestFit="1" customWidth="1"/>
    <col min="8476" max="8704" width="9.140625" style="4"/>
    <col min="8705" max="8705" width="54.5703125" style="4" customWidth="1"/>
    <col min="8706" max="8706" width="5.140625" style="4" customWidth="1"/>
    <col min="8707" max="8707" width="5" style="4" customWidth="1"/>
    <col min="8708" max="8708" width="3.7109375" style="4" customWidth="1"/>
    <col min="8709" max="8709" width="25" style="4" customWidth="1"/>
    <col min="8710" max="8710" width="5" style="4" customWidth="1"/>
    <col min="8711" max="8723" width="0" style="4" hidden="1" customWidth="1"/>
    <col min="8724" max="8724" width="20.42578125" style="4" customWidth="1"/>
    <col min="8725" max="8725" width="14.85546875" style="4" bestFit="1" customWidth="1"/>
    <col min="8726" max="8727" width="13.28515625" style="4" bestFit="1" customWidth="1"/>
    <col min="8728" max="8730" width="9.140625" style="4"/>
    <col min="8731" max="8731" width="12.140625" style="4" bestFit="1" customWidth="1"/>
    <col min="8732" max="8960" width="9.140625" style="4"/>
    <col min="8961" max="8961" width="54.5703125" style="4" customWidth="1"/>
    <col min="8962" max="8962" width="5.140625" style="4" customWidth="1"/>
    <col min="8963" max="8963" width="5" style="4" customWidth="1"/>
    <col min="8964" max="8964" width="3.7109375" style="4" customWidth="1"/>
    <col min="8965" max="8965" width="25" style="4" customWidth="1"/>
    <col min="8966" max="8966" width="5" style="4" customWidth="1"/>
    <col min="8967" max="8979" width="0" style="4" hidden="1" customWidth="1"/>
    <col min="8980" max="8980" width="20.42578125" style="4" customWidth="1"/>
    <col min="8981" max="8981" width="14.85546875" style="4" bestFit="1" customWidth="1"/>
    <col min="8982" max="8983" width="13.28515625" style="4" bestFit="1" customWidth="1"/>
    <col min="8984" max="8986" width="9.140625" style="4"/>
    <col min="8987" max="8987" width="12.140625" style="4" bestFit="1" customWidth="1"/>
    <col min="8988" max="9216" width="9.140625" style="4"/>
    <col min="9217" max="9217" width="54.5703125" style="4" customWidth="1"/>
    <col min="9218" max="9218" width="5.140625" style="4" customWidth="1"/>
    <col min="9219" max="9219" width="5" style="4" customWidth="1"/>
    <col min="9220" max="9220" width="3.7109375" style="4" customWidth="1"/>
    <col min="9221" max="9221" width="25" style="4" customWidth="1"/>
    <col min="9222" max="9222" width="5" style="4" customWidth="1"/>
    <col min="9223" max="9235" width="0" style="4" hidden="1" customWidth="1"/>
    <col min="9236" max="9236" width="20.42578125" style="4" customWidth="1"/>
    <col min="9237" max="9237" width="14.85546875" style="4" bestFit="1" customWidth="1"/>
    <col min="9238" max="9239" width="13.28515625" style="4" bestFit="1" customWidth="1"/>
    <col min="9240" max="9242" width="9.140625" style="4"/>
    <col min="9243" max="9243" width="12.140625" style="4" bestFit="1" customWidth="1"/>
    <col min="9244" max="9472" width="9.140625" style="4"/>
    <col min="9473" max="9473" width="54.5703125" style="4" customWidth="1"/>
    <col min="9474" max="9474" width="5.140625" style="4" customWidth="1"/>
    <col min="9475" max="9475" width="5" style="4" customWidth="1"/>
    <col min="9476" max="9476" width="3.7109375" style="4" customWidth="1"/>
    <col min="9477" max="9477" width="25" style="4" customWidth="1"/>
    <col min="9478" max="9478" width="5" style="4" customWidth="1"/>
    <col min="9479" max="9491" width="0" style="4" hidden="1" customWidth="1"/>
    <col min="9492" max="9492" width="20.42578125" style="4" customWidth="1"/>
    <col min="9493" max="9493" width="14.85546875" style="4" bestFit="1" customWidth="1"/>
    <col min="9494" max="9495" width="13.28515625" style="4" bestFit="1" customWidth="1"/>
    <col min="9496" max="9498" width="9.140625" style="4"/>
    <col min="9499" max="9499" width="12.140625" style="4" bestFit="1" customWidth="1"/>
    <col min="9500" max="9728" width="9.140625" style="4"/>
    <col min="9729" max="9729" width="54.5703125" style="4" customWidth="1"/>
    <col min="9730" max="9730" width="5.140625" style="4" customWidth="1"/>
    <col min="9731" max="9731" width="5" style="4" customWidth="1"/>
    <col min="9732" max="9732" width="3.7109375" style="4" customWidth="1"/>
    <col min="9733" max="9733" width="25" style="4" customWidth="1"/>
    <col min="9734" max="9734" width="5" style="4" customWidth="1"/>
    <col min="9735" max="9747" width="0" style="4" hidden="1" customWidth="1"/>
    <col min="9748" max="9748" width="20.42578125" style="4" customWidth="1"/>
    <col min="9749" max="9749" width="14.85546875" style="4" bestFit="1" customWidth="1"/>
    <col min="9750" max="9751" width="13.28515625" style="4" bestFit="1" customWidth="1"/>
    <col min="9752" max="9754" width="9.140625" style="4"/>
    <col min="9755" max="9755" width="12.140625" style="4" bestFit="1" customWidth="1"/>
    <col min="9756" max="9984" width="9.140625" style="4"/>
    <col min="9985" max="9985" width="54.5703125" style="4" customWidth="1"/>
    <col min="9986" max="9986" width="5.140625" style="4" customWidth="1"/>
    <col min="9987" max="9987" width="5" style="4" customWidth="1"/>
    <col min="9988" max="9988" width="3.7109375" style="4" customWidth="1"/>
    <col min="9989" max="9989" width="25" style="4" customWidth="1"/>
    <col min="9990" max="9990" width="5" style="4" customWidth="1"/>
    <col min="9991" max="10003" width="0" style="4" hidden="1" customWidth="1"/>
    <col min="10004" max="10004" width="20.42578125" style="4" customWidth="1"/>
    <col min="10005" max="10005" width="14.85546875" style="4" bestFit="1" customWidth="1"/>
    <col min="10006" max="10007" width="13.28515625" style="4" bestFit="1" customWidth="1"/>
    <col min="10008" max="10010" width="9.140625" style="4"/>
    <col min="10011" max="10011" width="12.140625" style="4" bestFit="1" customWidth="1"/>
    <col min="10012" max="10240" width="9.140625" style="4"/>
    <col min="10241" max="10241" width="54.5703125" style="4" customWidth="1"/>
    <col min="10242" max="10242" width="5.140625" style="4" customWidth="1"/>
    <col min="10243" max="10243" width="5" style="4" customWidth="1"/>
    <col min="10244" max="10244" width="3.7109375" style="4" customWidth="1"/>
    <col min="10245" max="10245" width="25" style="4" customWidth="1"/>
    <col min="10246" max="10246" width="5" style="4" customWidth="1"/>
    <col min="10247" max="10259" width="0" style="4" hidden="1" customWidth="1"/>
    <col min="10260" max="10260" width="20.42578125" style="4" customWidth="1"/>
    <col min="10261" max="10261" width="14.85546875" style="4" bestFit="1" customWidth="1"/>
    <col min="10262" max="10263" width="13.28515625" style="4" bestFit="1" customWidth="1"/>
    <col min="10264" max="10266" width="9.140625" style="4"/>
    <col min="10267" max="10267" width="12.140625" style="4" bestFit="1" customWidth="1"/>
    <col min="10268" max="10496" width="9.140625" style="4"/>
    <col min="10497" max="10497" width="54.5703125" style="4" customWidth="1"/>
    <col min="10498" max="10498" width="5.140625" style="4" customWidth="1"/>
    <col min="10499" max="10499" width="5" style="4" customWidth="1"/>
    <col min="10500" max="10500" width="3.7109375" style="4" customWidth="1"/>
    <col min="10501" max="10501" width="25" style="4" customWidth="1"/>
    <col min="10502" max="10502" width="5" style="4" customWidth="1"/>
    <col min="10503" max="10515" width="0" style="4" hidden="1" customWidth="1"/>
    <col min="10516" max="10516" width="20.42578125" style="4" customWidth="1"/>
    <col min="10517" max="10517" width="14.85546875" style="4" bestFit="1" customWidth="1"/>
    <col min="10518" max="10519" width="13.28515625" style="4" bestFit="1" customWidth="1"/>
    <col min="10520" max="10522" width="9.140625" style="4"/>
    <col min="10523" max="10523" width="12.140625" style="4" bestFit="1" customWidth="1"/>
    <col min="10524" max="10752" width="9.140625" style="4"/>
    <col min="10753" max="10753" width="54.5703125" style="4" customWidth="1"/>
    <col min="10754" max="10754" width="5.140625" style="4" customWidth="1"/>
    <col min="10755" max="10755" width="5" style="4" customWidth="1"/>
    <col min="10756" max="10756" width="3.7109375" style="4" customWidth="1"/>
    <col min="10757" max="10757" width="25" style="4" customWidth="1"/>
    <col min="10758" max="10758" width="5" style="4" customWidth="1"/>
    <col min="10759" max="10771" width="0" style="4" hidden="1" customWidth="1"/>
    <col min="10772" max="10772" width="20.42578125" style="4" customWidth="1"/>
    <col min="10773" max="10773" width="14.85546875" style="4" bestFit="1" customWidth="1"/>
    <col min="10774" max="10775" width="13.28515625" style="4" bestFit="1" customWidth="1"/>
    <col min="10776" max="10778" width="9.140625" style="4"/>
    <col min="10779" max="10779" width="12.140625" style="4" bestFit="1" customWidth="1"/>
    <col min="10780" max="11008" width="9.140625" style="4"/>
    <col min="11009" max="11009" width="54.5703125" style="4" customWidth="1"/>
    <col min="11010" max="11010" width="5.140625" style="4" customWidth="1"/>
    <col min="11011" max="11011" width="5" style="4" customWidth="1"/>
    <col min="11012" max="11012" width="3.7109375" style="4" customWidth="1"/>
    <col min="11013" max="11013" width="25" style="4" customWidth="1"/>
    <col min="11014" max="11014" width="5" style="4" customWidth="1"/>
    <col min="11015" max="11027" width="0" style="4" hidden="1" customWidth="1"/>
    <col min="11028" max="11028" width="20.42578125" style="4" customWidth="1"/>
    <col min="11029" max="11029" width="14.85546875" style="4" bestFit="1" customWidth="1"/>
    <col min="11030" max="11031" width="13.28515625" style="4" bestFit="1" customWidth="1"/>
    <col min="11032" max="11034" width="9.140625" style="4"/>
    <col min="11035" max="11035" width="12.140625" style="4" bestFit="1" customWidth="1"/>
    <col min="11036" max="11264" width="9.140625" style="4"/>
    <col min="11265" max="11265" width="54.5703125" style="4" customWidth="1"/>
    <col min="11266" max="11266" width="5.140625" style="4" customWidth="1"/>
    <col min="11267" max="11267" width="5" style="4" customWidth="1"/>
    <col min="11268" max="11268" width="3.7109375" style="4" customWidth="1"/>
    <col min="11269" max="11269" width="25" style="4" customWidth="1"/>
    <col min="11270" max="11270" width="5" style="4" customWidth="1"/>
    <col min="11271" max="11283" width="0" style="4" hidden="1" customWidth="1"/>
    <col min="11284" max="11284" width="20.42578125" style="4" customWidth="1"/>
    <col min="11285" max="11285" width="14.85546875" style="4" bestFit="1" customWidth="1"/>
    <col min="11286" max="11287" width="13.28515625" style="4" bestFit="1" customWidth="1"/>
    <col min="11288" max="11290" width="9.140625" style="4"/>
    <col min="11291" max="11291" width="12.140625" style="4" bestFit="1" customWidth="1"/>
    <col min="11292" max="11520" width="9.140625" style="4"/>
    <col min="11521" max="11521" width="54.5703125" style="4" customWidth="1"/>
    <col min="11522" max="11522" width="5.140625" style="4" customWidth="1"/>
    <col min="11523" max="11523" width="5" style="4" customWidth="1"/>
    <col min="11524" max="11524" width="3.7109375" style="4" customWidth="1"/>
    <col min="11525" max="11525" width="25" style="4" customWidth="1"/>
    <col min="11526" max="11526" width="5" style="4" customWidth="1"/>
    <col min="11527" max="11539" width="0" style="4" hidden="1" customWidth="1"/>
    <col min="11540" max="11540" width="20.42578125" style="4" customWidth="1"/>
    <col min="11541" max="11541" width="14.85546875" style="4" bestFit="1" customWidth="1"/>
    <col min="11542" max="11543" width="13.28515625" style="4" bestFit="1" customWidth="1"/>
    <col min="11544" max="11546" width="9.140625" style="4"/>
    <col min="11547" max="11547" width="12.140625" style="4" bestFit="1" customWidth="1"/>
    <col min="11548" max="11776" width="9.140625" style="4"/>
    <col min="11777" max="11777" width="54.5703125" style="4" customWidth="1"/>
    <col min="11778" max="11778" width="5.140625" style="4" customWidth="1"/>
    <col min="11779" max="11779" width="5" style="4" customWidth="1"/>
    <col min="11780" max="11780" width="3.7109375" style="4" customWidth="1"/>
    <col min="11781" max="11781" width="25" style="4" customWidth="1"/>
    <col min="11782" max="11782" width="5" style="4" customWidth="1"/>
    <col min="11783" max="11795" width="0" style="4" hidden="1" customWidth="1"/>
    <col min="11796" max="11796" width="20.42578125" style="4" customWidth="1"/>
    <col min="11797" max="11797" width="14.85546875" style="4" bestFit="1" customWidth="1"/>
    <col min="11798" max="11799" width="13.28515625" style="4" bestFit="1" customWidth="1"/>
    <col min="11800" max="11802" width="9.140625" style="4"/>
    <col min="11803" max="11803" width="12.140625" style="4" bestFit="1" customWidth="1"/>
    <col min="11804" max="12032" width="9.140625" style="4"/>
    <col min="12033" max="12033" width="54.5703125" style="4" customWidth="1"/>
    <col min="12034" max="12034" width="5.140625" style="4" customWidth="1"/>
    <col min="12035" max="12035" width="5" style="4" customWidth="1"/>
    <col min="12036" max="12036" width="3.7109375" style="4" customWidth="1"/>
    <col min="12037" max="12037" width="25" style="4" customWidth="1"/>
    <col min="12038" max="12038" width="5" style="4" customWidth="1"/>
    <col min="12039" max="12051" width="0" style="4" hidden="1" customWidth="1"/>
    <col min="12052" max="12052" width="20.42578125" style="4" customWidth="1"/>
    <col min="12053" max="12053" width="14.85546875" style="4" bestFit="1" customWidth="1"/>
    <col min="12054" max="12055" width="13.28515625" style="4" bestFit="1" customWidth="1"/>
    <col min="12056" max="12058" width="9.140625" style="4"/>
    <col min="12059" max="12059" width="12.140625" style="4" bestFit="1" customWidth="1"/>
    <col min="12060" max="12288" width="9.140625" style="4"/>
    <col min="12289" max="12289" width="54.5703125" style="4" customWidth="1"/>
    <col min="12290" max="12290" width="5.140625" style="4" customWidth="1"/>
    <col min="12291" max="12291" width="5" style="4" customWidth="1"/>
    <col min="12292" max="12292" width="3.7109375" style="4" customWidth="1"/>
    <col min="12293" max="12293" width="25" style="4" customWidth="1"/>
    <col min="12294" max="12294" width="5" style="4" customWidth="1"/>
    <col min="12295" max="12307" width="0" style="4" hidden="1" customWidth="1"/>
    <col min="12308" max="12308" width="20.42578125" style="4" customWidth="1"/>
    <col min="12309" max="12309" width="14.85546875" style="4" bestFit="1" customWidth="1"/>
    <col min="12310" max="12311" width="13.28515625" style="4" bestFit="1" customWidth="1"/>
    <col min="12312" max="12314" width="9.140625" style="4"/>
    <col min="12315" max="12315" width="12.140625" style="4" bestFit="1" customWidth="1"/>
    <col min="12316" max="12544" width="9.140625" style="4"/>
    <col min="12545" max="12545" width="54.5703125" style="4" customWidth="1"/>
    <col min="12546" max="12546" width="5.140625" style="4" customWidth="1"/>
    <col min="12547" max="12547" width="5" style="4" customWidth="1"/>
    <col min="12548" max="12548" width="3.7109375" style="4" customWidth="1"/>
    <col min="12549" max="12549" width="25" style="4" customWidth="1"/>
    <col min="12550" max="12550" width="5" style="4" customWidth="1"/>
    <col min="12551" max="12563" width="0" style="4" hidden="1" customWidth="1"/>
    <col min="12564" max="12564" width="20.42578125" style="4" customWidth="1"/>
    <col min="12565" max="12565" width="14.85546875" style="4" bestFit="1" customWidth="1"/>
    <col min="12566" max="12567" width="13.28515625" style="4" bestFit="1" customWidth="1"/>
    <col min="12568" max="12570" width="9.140625" style="4"/>
    <col min="12571" max="12571" width="12.140625" style="4" bestFit="1" customWidth="1"/>
    <col min="12572" max="12800" width="9.140625" style="4"/>
    <col min="12801" max="12801" width="54.5703125" style="4" customWidth="1"/>
    <col min="12802" max="12802" width="5.140625" style="4" customWidth="1"/>
    <col min="12803" max="12803" width="5" style="4" customWidth="1"/>
    <col min="12804" max="12804" width="3.7109375" style="4" customWidth="1"/>
    <col min="12805" max="12805" width="25" style="4" customWidth="1"/>
    <col min="12806" max="12806" width="5" style="4" customWidth="1"/>
    <col min="12807" max="12819" width="0" style="4" hidden="1" customWidth="1"/>
    <col min="12820" max="12820" width="20.42578125" style="4" customWidth="1"/>
    <col min="12821" max="12821" width="14.85546875" style="4" bestFit="1" customWidth="1"/>
    <col min="12822" max="12823" width="13.28515625" style="4" bestFit="1" customWidth="1"/>
    <col min="12824" max="12826" width="9.140625" style="4"/>
    <col min="12827" max="12827" width="12.140625" style="4" bestFit="1" customWidth="1"/>
    <col min="12828" max="13056" width="9.140625" style="4"/>
    <col min="13057" max="13057" width="54.5703125" style="4" customWidth="1"/>
    <col min="13058" max="13058" width="5.140625" style="4" customWidth="1"/>
    <col min="13059" max="13059" width="5" style="4" customWidth="1"/>
    <col min="13060" max="13060" width="3.7109375" style="4" customWidth="1"/>
    <col min="13061" max="13061" width="25" style="4" customWidth="1"/>
    <col min="13062" max="13062" width="5" style="4" customWidth="1"/>
    <col min="13063" max="13075" width="0" style="4" hidden="1" customWidth="1"/>
    <col min="13076" max="13076" width="20.42578125" style="4" customWidth="1"/>
    <col min="13077" max="13077" width="14.85546875" style="4" bestFit="1" customWidth="1"/>
    <col min="13078" max="13079" width="13.28515625" style="4" bestFit="1" customWidth="1"/>
    <col min="13080" max="13082" width="9.140625" style="4"/>
    <col min="13083" max="13083" width="12.140625" style="4" bestFit="1" customWidth="1"/>
    <col min="13084" max="13312" width="9.140625" style="4"/>
    <col min="13313" max="13313" width="54.5703125" style="4" customWidth="1"/>
    <col min="13314" max="13314" width="5.140625" style="4" customWidth="1"/>
    <col min="13315" max="13315" width="5" style="4" customWidth="1"/>
    <col min="13316" max="13316" width="3.7109375" style="4" customWidth="1"/>
    <col min="13317" max="13317" width="25" style="4" customWidth="1"/>
    <col min="13318" max="13318" width="5" style="4" customWidth="1"/>
    <col min="13319" max="13331" width="0" style="4" hidden="1" customWidth="1"/>
    <col min="13332" max="13332" width="20.42578125" style="4" customWidth="1"/>
    <col min="13333" max="13333" width="14.85546875" style="4" bestFit="1" customWidth="1"/>
    <col min="13334" max="13335" width="13.28515625" style="4" bestFit="1" customWidth="1"/>
    <col min="13336" max="13338" width="9.140625" style="4"/>
    <col min="13339" max="13339" width="12.140625" style="4" bestFit="1" customWidth="1"/>
    <col min="13340" max="13568" width="9.140625" style="4"/>
    <col min="13569" max="13569" width="54.5703125" style="4" customWidth="1"/>
    <col min="13570" max="13570" width="5.140625" style="4" customWidth="1"/>
    <col min="13571" max="13571" width="5" style="4" customWidth="1"/>
    <col min="13572" max="13572" width="3.7109375" style="4" customWidth="1"/>
    <col min="13573" max="13573" width="25" style="4" customWidth="1"/>
    <col min="13574" max="13574" width="5" style="4" customWidth="1"/>
    <col min="13575" max="13587" width="0" style="4" hidden="1" customWidth="1"/>
    <col min="13588" max="13588" width="20.42578125" style="4" customWidth="1"/>
    <col min="13589" max="13589" width="14.85546875" style="4" bestFit="1" customWidth="1"/>
    <col min="13590" max="13591" width="13.28515625" style="4" bestFit="1" customWidth="1"/>
    <col min="13592" max="13594" width="9.140625" style="4"/>
    <col min="13595" max="13595" width="12.140625" style="4" bestFit="1" customWidth="1"/>
    <col min="13596" max="13824" width="9.140625" style="4"/>
    <col min="13825" max="13825" width="54.5703125" style="4" customWidth="1"/>
    <col min="13826" max="13826" width="5.140625" style="4" customWidth="1"/>
    <col min="13827" max="13827" width="5" style="4" customWidth="1"/>
    <col min="13828" max="13828" width="3.7109375" style="4" customWidth="1"/>
    <col min="13829" max="13829" width="25" style="4" customWidth="1"/>
    <col min="13830" max="13830" width="5" style="4" customWidth="1"/>
    <col min="13831" max="13843" width="0" style="4" hidden="1" customWidth="1"/>
    <col min="13844" max="13844" width="20.42578125" style="4" customWidth="1"/>
    <col min="13845" max="13845" width="14.85546875" style="4" bestFit="1" customWidth="1"/>
    <col min="13846" max="13847" width="13.28515625" style="4" bestFit="1" customWidth="1"/>
    <col min="13848" max="13850" width="9.140625" style="4"/>
    <col min="13851" max="13851" width="12.140625" style="4" bestFit="1" customWidth="1"/>
    <col min="13852" max="14080" width="9.140625" style="4"/>
    <col min="14081" max="14081" width="54.5703125" style="4" customWidth="1"/>
    <col min="14082" max="14082" width="5.140625" style="4" customWidth="1"/>
    <col min="14083" max="14083" width="5" style="4" customWidth="1"/>
    <col min="14084" max="14084" width="3.7109375" style="4" customWidth="1"/>
    <col min="14085" max="14085" width="25" style="4" customWidth="1"/>
    <col min="14086" max="14086" width="5" style="4" customWidth="1"/>
    <col min="14087" max="14099" width="0" style="4" hidden="1" customWidth="1"/>
    <col min="14100" max="14100" width="20.42578125" style="4" customWidth="1"/>
    <col min="14101" max="14101" width="14.85546875" style="4" bestFit="1" customWidth="1"/>
    <col min="14102" max="14103" width="13.28515625" style="4" bestFit="1" customWidth="1"/>
    <col min="14104" max="14106" width="9.140625" style="4"/>
    <col min="14107" max="14107" width="12.140625" style="4" bestFit="1" customWidth="1"/>
    <col min="14108" max="14336" width="9.140625" style="4"/>
    <col min="14337" max="14337" width="54.5703125" style="4" customWidth="1"/>
    <col min="14338" max="14338" width="5.140625" style="4" customWidth="1"/>
    <col min="14339" max="14339" width="5" style="4" customWidth="1"/>
    <col min="14340" max="14340" width="3.7109375" style="4" customWidth="1"/>
    <col min="14341" max="14341" width="25" style="4" customWidth="1"/>
    <col min="14342" max="14342" width="5" style="4" customWidth="1"/>
    <col min="14343" max="14355" width="0" style="4" hidden="1" customWidth="1"/>
    <col min="14356" max="14356" width="20.42578125" style="4" customWidth="1"/>
    <col min="14357" max="14357" width="14.85546875" style="4" bestFit="1" customWidth="1"/>
    <col min="14358" max="14359" width="13.28515625" style="4" bestFit="1" customWidth="1"/>
    <col min="14360" max="14362" width="9.140625" style="4"/>
    <col min="14363" max="14363" width="12.140625" style="4" bestFit="1" customWidth="1"/>
    <col min="14364" max="14592" width="9.140625" style="4"/>
    <col min="14593" max="14593" width="54.5703125" style="4" customWidth="1"/>
    <col min="14594" max="14594" width="5.140625" style="4" customWidth="1"/>
    <col min="14595" max="14595" width="5" style="4" customWidth="1"/>
    <col min="14596" max="14596" width="3.7109375" style="4" customWidth="1"/>
    <col min="14597" max="14597" width="25" style="4" customWidth="1"/>
    <col min="14598" max="14598" width="5" style="4" customWidth="1"/>
    <col min="14599" max="14611" width="0" style="4" hidden="1" customWidth="1"/>
    <col min="14612" max="14612" width="20.42578125" style="4" customWidth="1"/>
    <col min="14613" max="14613" width="14.85546875" style="4" bestFit="1" customWidth="1"/>
    <col min="14614" max="14615" width="13.28515625" style="4" bestFit="1" customWidth="1"/>
    <col min="14616" max="14618" width="9.140625" style="4"/>
    <col min="14619" max="14619" width="12.140625" style="4" bestFit="1" customWidth="1"/>
    <col min="14620" max="14848" width="9.140625" style="4"/>
    <col min="14849" max="14849" width="54.5703125" style="4" customWidth="1"/>
    <col min="14850" max="14850" width="5.140625" style="4" customWidth="1"/>
    <col min="14851" max="14851" width="5" style="4" customWidth="1"/>
    <col min="14852" max="14852" width="3.7109375" style="4" customWidth="1"/>
    <col min="14853" max="14853" width="25" style="4" customWidth="1"/>
    <col min="14854" max="14854" width="5" style="4" customWidth="1"/>
    <col min="14855" max="14867" width="0" style="4" hidden="1" customWidth="1"/>
    <col min="14868" max="14868" width="20.42578125" style="4" customWidth="1"/>
    <col min="14869" max="14869" width="14.85546875" style="4" bestFit="1" customWidth="1"/>
    <col min="14870" max="14871" width="13.28515625" style="4" bestFit="1" customWidth="1"/>
    <col min="14872" max="14874" width="9.140625" style="4"/>
    <col min="14875" max="14875" width="12.140625" style="4" bestFit="1" customWidth="1"/>
    <col min="14876" max="15104" width="9.140625" style="4"/>
    <col min="15105" max="15105" width="54.5703125" style="4" customWidth="1"/>
    <col min="15106" max="15106" width="5.140625" style="4" customWidth="1"/>
    <col min="15107" max="15107" width="5" style="4" customWidth="1"/>
    <col min="15108" max="15108" width="3.7109375" style="4" customWidth="1"/>
    <col min="15109" max="15109" width="25" style="4" customWidth="1"/>
    <col min="15110" max="15110" width="5" style="4" customWidth="1"/>
    <col min="15111" max="15123" width="0" style="4" hidden="1" customWidth="1"/>
    <col min="15124" max="15124" width="20.42578125" style="4" customWidth="1"/>
    <col min="15125" max="15125" width="14.85546875" style="4" bestFit="1" customWidth="1"/>
    <col min="15126" max="15127" width="13.28515625" style="4" bestFit="1" customWidth="1"/>
    <col min="15128" max="15130" width="9.140625" style="4"/>
    <col min="15131" max="15131" width="12.140625" style="4" bestFit="1" customWidth="1"/>
    <col min="15132" max="15360" width="9.140625" style="4"/>
    <col min="15361" max="15361" width="54.5703125" style="4" customWidth="1"/>
    <col min="15362" max="15362" width="5.140625" style="4" customWidth="1"/>
    <col min="15363" max="15363" width="5" style="4" customWidth="1"/>
    <col min="15364" max="15364" width="3.7109375" style="4" customWidth="1"/>
    <col min="15365" max="15365" width="25" style="4" customWidth="1"/>
    <col min="15366" max="15366" width="5" style="4" customWidth="1"/>
    <col min="15367" max="15379" width="0" style="4" hidden="1" customWidth="1"/>
    <col min="15380" max="15380" width="20.42578125" style="4" customWidth="1"/>
    <col min="15381" max="15381" width="14.85546875" style="4" bestFit="1" customWidth="1"/>
    <col min="15382" max="15383" width="13.28515625" style="4" bestFit="1" customWidth="1"/>
    <col min="15384" max="15386" width="9.140625" style="4"/>
    <col min="15387" max="15387" width="12.140625" style="4" bestFit="1" customWidth="1"/>
    <col min="15388" max="15616" width="9.140625" style="4"/>
    <col min="15617" max="15617" width="54.5703125" style="4" customWidth="1"/>
    <col min="15618" max="15618" width="5.140625" style="4" customWidth="1"/>
    <col min="15619" max="15619" width="5" style="4" customWidth="1"/>
    <col min="15620" max="15620" width="3.7109375" style="4" customWidth="1"/>
    <col min="15621" max="15621" width="25" style="4" customWidth="1"/>
    <col min="15622" max="15622" width="5" style="4" customWidth="1"/>
    <col min="15623" max="15635" width="0" style="4" hidden="1" customWidth="1"/>
    <col min="15636" max="15636" width="20.42578125" style="4" customWidth="1"/>
    <col min="15637" max="15637" width="14.85546875" style="4" bestFit="1" customWidth="1"/>
    <col min="15638" max="15639" width="13.28515625" style="4" bestFit="1" customWidth="1"/>
    <col min="15640" max="15642" width="9.140625" style="4"/>
    <col min="15643" max="15643" width="12.140625" style="4" bestFit="1" customWidth="1"/>
    <col min="15644" max="15872" width="9.140625" style="4"/>
    <col min="15873" max="15873" width="54.5703125" style="4" customWidth="1"/>
    <col min="15874" max="15874" width="5.140625" style="4" customWidth="1"/>
    <col min="15875" max="15875" width="5" style="4" customWidth="1"/>
    <col min="15876" max="15876" width="3.7109375" style="4" customWidth="1"/>
    <col min="15877" max="15877" width="25" style="4" customWidth="1"/>
    <col min="15878" max="15878" width="5" style="4" customWidth="1"/>
    <col min="15879" max="15891" width="0" style="4" hidden="1" customWidth="1"/>
    <col min="15892" max="15892" width="20.42578125" style="4" customWidth="1"/>
    <col min="15893" max="15893" width="14.85546875" style="4" bestFit="1" customWidth="1"/>
    <col min="15894" max="15895" width="13.28515625" style="4" bestFit="1" customWidth="1"/>
    <col min="15896" max="15898" width="9.140625" style="4"/>
    <col min="15899" max="15899" width="12.140625" style="4" bestFit="1" customWidth="1"/>
    <col min="15900" max="16128" width="9.140625" style="4"/>
    <col min="16129" max="16129" width="54.5703125" style="4" customWidth="1"/>
    <col min="16130" max="16130" width="5.140625" style="4" customWidth="1"/>
    <col min="16131" max="16131" width="5" style="4" customWidth="1"/>
    <col min="16132" max="16132" width="3.7109375" style="4" customWidth="1"/>
    <col min="16133" max="16133" width="25" style="4" customWidth="1"/>
    <col min="16134" max="16134" width="5" style="4" customWidth="1"/>
    <col min="16135" max="16147" width="0" style="4" hidden="1" customWidth="1"/>
    <col min="16148" max="16148" width="20.42578125" style="4" customWidth="1"/>
    <col min="16149" max="16149" width="14.85546875" style="4" bestFit="1" customWidth="1"/>
    <col min="16150" max="16151" width="13.28515625" style="4" bestFit="1" customWidth="1"/>
    <col min="16152" max="16154" width="9.140625" style="4"/>
    <col min="16155" max="16155" width="12.140625" style="4" bestFit="1" customWidth="1"/>
    <col min="16156" max="16384" width="9.140625" style="4"/>
  </cols>
  <sheetData>
    <row r="1" spans="1:27">
      <c r="A1" s="189"/>
      <c r="B1" s="189"/>
      <c r="C1" s="189"/>
      <c r="D1" s="189"/>
      <c r="E1" s="317"/>
      <c r="F1" s="317"/>
      <c r="G1" s="317"/>
      <c r="H1" s="190"/>
      <c r="I1" s="190"/>
      <c r="J1" s="190"/>
      <c r="K1" s="190"/>
      <c r="L1" s="190"/>
      <c r="M1" s="190"/>
      <c r="N1" s="190"/>
      <c r="O1" s="190"/>
      <c r="P1" s="191"/>
      <c r="Q1" s="191"/>
      <c r="R1" s="190"/>
      <c r="S1" s="190"/>
      <c r="T1" s="191"/>
    </row>
    <row r="2" spans="1:27" ht="18.75" customHeight="1">
      <c r="A2" s="189"/>
      <c r="B2" s="189"/>
      <c r="C2" s="189"/>
      <c r="D2" s="189"/>
      <c r="E2" s="189"/>
      <c r="F2" s="192"/>
      <c r="G2" s="192"/>
      <c r="H2" s="190"/>
      <c r="I2" s="190"/>
      <c r="J2" s="190"/>
      <c r="K2" s="190"/>
      <c r="L2" s="190"/>
      <c r="M2" s="190"/>
      <c r="N2" s="190"/>
      <c r="O2" s="190"/>
      <c r="P2" s="191"/>
      <c r="Q2" s="191"/>
      <c r="R2" s="190"/>
      <c r="S2" s="190"/>
      <c r="T2" s="193" t="s">
        <v>380</v>
      </c>
    </row>
    <row r="3" spans="1:27" ht="14.25" customHeight="1">
      <c r="A3" s="319" t="s">
        <v>381</v>
      </c>
      <c r="B3" s="319"/>
      <c r="C3" s="319"/>
      <c r="D3" s="319"/>
      <c r="E3" s="319"/>
      <c r="F3" s="319"/>
      <c r="G3" s="319"/>
      <c r="H3" s="190"/>
      <c r="I3" s="190"/>
      <c r="J3" s="190"/>
      <c r="K3" s="190"/>
      <c r="L3" s="190"/>
      <c r="M3" s="190"/>
      <c r="N3" s="190"/>
      <c r="O3" s="190"/>
      <c r="P3" s="191"/>
      <c r="Q3" s="191"/>
      <c r="R3" s="190"/>
      <c r="S3" s="190"/>
      <c r="T3" s="191"/>
    </row>
    <row r="4" spans="1:27">
      <c r="A4" s="319" t="s">
        <v>631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7" ht="13.5" customHeight="1">
      <c r="A5" s="318" t="s">
        <v>382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7">
      <c r="A6" s="319" t="s">
        <v>383</v>
      </c>
      <c r="B6" s="319"/>
      <c r="C6" s="319"/>
      <c r="D6" s="319"/>
      <c r="E6" s="319"/>
      <c r="F6" s="319"/>
      <c r="G6" s="319"/>
      <c r="H6" s="190"/>
      <c r="I6" s="190"/>
      <c r="J6" s="190"/>
      <c r="K6" s="190"/>
      <c r="L6" s="190"/>
      <c r="M6" s="190"/>
      <c r="N6" s="190"/>
      <c r="O6" s="190"/>
      <c r="P6" s="191"/>
      <c r="Q6" s="191"/>
      <c r="R6" s="190"/>
      <c r="S6" s="190"/>
      <c r="T6" s="191"/>
    </row>
    <row r="7" spans="1:27" ht="13.5" thickBot="1">
      <c r="A7" s="189"/>
      <c r="B7" s="189"/>
      <c r="C7" s="189"/>
      <c r="D7" s="189"/>
      <c r="E7" s="317"/>
      <c r="F7" s="317"/>
      <c r="G7" s="194"/>
      <c r="H7" s="190"/>
      <c r="I7" s="190"/>
      <c r="J7" s="190"/>
      <c r="K7" s="190"/>
      <c r="L7" s="190"/>
      <c r="M7" s="190"/>
      <c r="N7" s="190"/>
      <c r="O7" s="190"/>
      <c r="P7" s="191"/>
      <c r="Q7" s="191"/>
      <c r="R7" s="190"/>
      <c r="S7" s="190"/>
      <c r="T7" s="195" t="s">
        <v>0</v>
      </c>
      <c r="U7" s="105"/>
    </row>
    <row r="8" spans="1:27" ht="45">
      <c r="A8" s="106" t="s">
        <v>121</v>
      </c>
      <c r="B8" s="107" t="s">
        <v>122</v>
      </c>
      <c r="C8" s="108" t="s">
        <v>123</v>
      </c>
      <c r="D8" s="108" t="s">
        <v>124</v>
      </c>
      <c r="E8" s="108" t="s">
        <v>125</v>
      </c>
      <c r="F8" s="108" t="s">
        <v>126</v>
      </c>
      <c r="G8" s="109" t="s">
        <v>3</v>
      </c>
      <c r="H8" s="110" t="s">
        <v>551</v>
      </c>
      <c r="I8" s="110" t="s">
        <v>552</v>
      </c>
      <c r="J8" s="110" t="s">
        <v>551</v>
      </c>
      <c r="K8" s="110" t="s">
        <v>552</v>
      </c>
      <c r="L8" s="110" t="s">
        <v>551</v>
      </c>
      <c r="M8" s="110" t="s">
        <v>552</v>
      </c>
      <c r="N8" s="110" t="s">
        <v>551</v>
      </c>
      <c r="O8" s="110" t="s">
        <v>552</v>
      </c>
      <c r="P8" s="111" t="s">
        <v>551</v>
      </c>
      <c r="Q8" s="111" t="s">
        <v>552</v>
      </c>
      <c r="R8" s="110" t="s">
        <v>551</v>
      </c>
      <c r="S8" s="110" t="s">
        <v>552</v>
      </c>
      <c r="T8" s="112" t="s">
        <v>3</v>
      </c>
    </row>
    <row r="9" spans="1:27">
      <c r="A9" s="196">
        <v>1</v>
      </c>
      <c r="B9" s="197">
        <v>2</v>
      </c>
      <c r="C9" s="197">
        <v>3</v>
      </c>
      <c r="D9" s="197">
        <v>4</v>
      </c>
      <c r="E9" s="197">
        <v>5</v>
      </c>
      <c r="F9" s="198">
        <v>6</v>
      </c>
      <c r="G9" s="199">
        <v>7</v>
      </c>
      <c r="H9" s="200"/>
      <c r="I9" s="200"/>
      <c r="J9" s="200"/>
      <c r="K9" s="200"/>
      <c r="L9" s="200"/>
      <c r="M9" s="200"/>
      <c r="N9" s="200"/>
      <c r="O9" s="200"/>
      <c r="P9" s="201"/>
      <c r="Q9" s="201"/>
      <c r="R9" s="202"/>
      <c r="S9" s="202"/>
      <c r="T9" s="203"/>
    </row>
    <row r="10" spans="1:27">
      <c r="A10" s="196"/>
      <c r="B10" s="197"/>
      <c r="C10" s="197"/>
      <c r="D10" s="197"/>
      <c r="E10" s="197"/>
      <c r="F10" s="198"/>
      <c r="G10" s="199"/>
      <c r="H10" s="200"/>
      <c r="I10" s="200"/>
      <c r="J10" s="200"/>
      <c r="K10" s="200"/>
      <c r="L10" s="200"/>
      <c r="M10" s="200"/>
      <c r="N10" s="200"/>
      <c r="O10" s="200"/>
      <c r="P10" s="201"/>
      <c r="Q10" s="201"/>
      <c r="R10" s="202"/>
      <c r="S10" s="202"/>
      <c r="T10" s="203"/>
      <c r="AA10" s="8"/>
    </row>
    <row r="11" spans="1:27">
      <c r="A11" s="204" t="s">
        <v>127</v>
      </c>
      <c r="B11" s="205"/>
      <c r="C11" s="205"/>
      <c r="D11" s="205"/>
      <c r="E11" s="205"/>
      <c r="F11" s="205"/>
      <c r="G11" s="113" t="e">
        <f t="shared" ref="G11:Q11" si="0">G500</f>
        <v>#REF!</v>
      </c>
      <c r="H11" s="113" t="e">
        <f t="shared" si="0"/>
        <v>#REF!</v>
      </c>
      <c r="I11" s="113" t="e">
        <f t="shared" si="0"/>
        <v>#REF!</v>
      </c>
      <c r="J11" s="113" t="e">
        <f t="shared" si="0"/>
        <v>#REF!</v>
      </c>
      <c r="K11" s="113" t="e">
        <f t="shared" si="0"/>
        <v>#REF!</v>
      </c>
      <c r="L11" s="113" t="e">
        <f t="shared" si="0"/>
        <v>#REF!</v>
      </c>
      <c r="M11" s="113" t="e">
        <f t="shared" si="0"/>
        <v>#REF!</v>
      </c>
      <c r="N11" s="113" t="e">
        <f t="shared" si="0"/>
        <v>#REF!</v>
      </c>
      <c r="O11" s="113">
        <f t="shared" si="0"/>
        <v>-1.8189894035458565E-12</v>
      </c>
      <c r="P11" s="114" t="e">
        <f t="shared" si="0"/>
        <v>#REF!</v>
      </c>
      <c r="Q11" s="114">
        <f t="shared" si="0"/>
        <v>-1.3642420526593924E-12</v>
      </c>
      <c r="R11" s="115"/>
      <c r="S11" s="115"/>
      <c r="T11" s="116">
        <f>T500</f>
        <v>1778709.0644200004</v>
      </c>
    </row>
    <row r="12" spans="1:27">
      <c r="A12" s="206" t="s">
        <v>128</v>
      </c>
      <c r="B12" s="207"/>
      <c r="C12" s="207" t="s">
        <v>129</v>
      </c>
      <c r="D12" s="207"/>
      <c r="E12" s="207"/>
      <c r="F12" s="207"/>
      <c r="G12" s="113">
        <f t="shared" ref="G12:M12" si="1">G13+G20+G37+G43+G46+G33</f>
        <v>63986.200999999994</v>
      </c>
      <c r="H12" s="113">
        <f t="shared" si="1"/>
        <v>4319</v>
      </c>
      <c r="I12" s="113">
        <f t="shared" si="1"/>
        <v>0</v>
      </c>
      <c r="J12" s="113">
        <f t="shared" si="1"/>
        <v>-1400</v>
      </c>
      <c r="K12" s="113">
        <f t="shared" si="1"/>
        <v>-10</v>
      </c>
      <c r="L12" s="113">
        <f t="shared" si="1"/>
        <v>4633.88717</v>
      </c>
      <c r="M12" s="113">
        <f t="shared" si="1"/>
        <v>-5053.8</v>
      </c>
      <c r="N12" s="113">
        <f t="shared" ref="N12:S12" si="2">N13+N20+N33+N37+N43+N46</f>
        <v>245</v>
      </c>
      <c r="O12" s="113">
        <f t="shared" si="2"/>
        <v>-7342.2550200000005</v>
      </c>
      <c r="P12" s="114">
        <f t="shared" si="2"/>
        <v>11750.66193</v>
      </c>
      <c r="Q12" s="114">
        <f t="shared" si="2"/>
        <v>2352.2707999999998</v>
      </c>
      <c r="R12" s="113">
        <f t="shared" si="2"/>
        <v>2084.52</v>
      </c>
      <c r="S12" s="113">
        <f t="shared" si="2"/>
        <v>529.8450500000007</v>
      </c>
      <c r="T12" s="116">
        <f>T13+T20+T37+T43+T46+T33</f>
        <v>74778.224809999985</v>
      </c>
    </row>
    <row r="13" spans="1:27" ht="22.5">
      <c r="A13" s="208" t="s">
        <v>130</v>
      </c>
      <c r="B13" s="209"/>
      <c r="C13" s="209" t="s">
        <v>131</v>
      </c>
      <c r="D13" s="209" t="s">
        <v>132</v>
      </c>
      <c r="E13" s="209"/>
      <c r="F13" s="207"/>
      <c r="G13" s="113">
        <f t="shared" ref="G13:T14" si="3">G14</f>
        <v>1422.9199999999998</v>
      </c>
      <c r="H13" s="113">
        <f t="shared" si="3"/>
        <v>0</v>
      </c>
      <c r="I13" s="113">
        <f t="shared" si="3"/>
        <v>0</v>
      </c>
      <c r="J13" s="113">
        <f t="shared" si="3"/>
        <v>0</v>
      </c>
      <c r="K13" s="113">
        <f t="shared" si="3"/>
        <v>106.57</v>
      </c>
      <c r="L13" s="113">
        <f t="shared" si="3"/>
        <v>0</v>
      </c>
      <c r="M13" s="113">
        <f t="shared" si="3"/>
        <v>74.8</v>
      </c>
      <c r="N13" s="113">
        <f t="shared" si="3"/>
        <v>0</v>
      </c>
      <c r="O13" s="113">
        <f t="shared" si="3"/>
        <v>0</v>
      </c>
      <c r="P13" s="114">
        <f t="shared" si="3"/>
        <v>0</v>
      </c>
      <c r="Q13" s="114">
        <f t="shared" si="3"/>
        <v>0</v>
      </c>
      <c r="R13" s="113">
        <f>R14+R18</f>
        <v>65.55</v>
      </c>
      <c r="S13" s="113">
        <f>S14+S18</f>
        <v>3.45</v>
      </c>
      <c r="T13" s="116">
        <f>T14+T18</f>
        <v>1672.3899999999999</v>
      </c>
    </row>
    <row r="14" spans="1:27" s="6" customFormat="1" ht="33.75">
      <c r="A14" s="208" t="s">
        <v>133</v>
      </c>
      <c r="B14" s="209" t="s">
        <v>134</v>
      </c>
      <c r="C14" s="209" t="s">
        <v>129</v>
      </c>
      <c r="D14" s="209" t="s">
        <v>135</v>
      </c>
      <c r="E14" s="209" t="s">
        <v>136</v>
      </c>
      <c r="F14" s="207"/>
      <c r="G14" s="113">
        <f t="shared" si="3"/>
        <v>1422.9199999999998</v>
      </c>
      <c r="H14" s="113">
        <f t="shared" si="3"/>
        <v>0</v>
      </c>
      <c r="I14" s="113">
        <f t="shared" si="3"/>
        <v>0</v>
      </c>
      <c r="J14" s="113">
        <f t="shared" si="3"/>
        <v>0</v>
      </c>
      <c r="K14" s="113">
        <f t="shared" si="3"/>
        <v>106.57</v>
      </c>
      <c r="L14" s="113">
        <f t="shared" si="3"/>
        <v>0</v>
      </c>
      <c r="M14" s="113">
        <f t="shared" si="3"/>
        <v>74.8</v>
      </c>
      <c r="N14" s="113">
        <f t="shared" si="3"/>
        <v>0</v>
      </c>
      <c r="O14" s="113">
        <f t="shared" si="3"/>
        <v>0</v>
      </c>
      <c r="P14" s="114">
        <f t="shared" si="3"/>
        <v>0</v>
      </c>
      <c r="Q14" s="114">
        <f t="shared" si="3"/>
        <v>0</v>
      </c>
      <c r="R14" s="115"/>
      <c r="S14" s="115">
        <f>S15</f>
        <v>3.45</v>
      </c>
      <c r="T14" s="116">
        <f t="shared" si="3"/>
        <v>1606.84</v>
      </c>
    </row>
    <row r="15" spans="1:27">
      <c r="A15" s="210" t="s">
        <v>137</v>
      </c>
      <c r="B15" s="211" t="s">
        <v>134</v>
      </c>
      <c r="C15" s="211" t="s">
        <v>129</v>
      </c>
      <c r="D15" s="211" t="s">
        <v>135</v>
      </c>
      <c r="E15" s="211" t="s">
        <v>138</v>
      </c>
      <c r="F15" s="212"/>
      <c r="G15" s="117">
        <f t="shared" ref="G15:T15" si="4">G16+G17</f>
        <v>1422.9199999999998</v>
      </c>
      <c r="H15" s="117">
        <f t="shared" si="4"/>
        <v>0</v>
      </c>
      <c r="I15" s="117">
        <f t="shared" si="4"/>
        <v>0</v>
      </c>
      <c r="J15" s="117">
        <f t="shared" si="4"/>
        <v>0</v>
      </c>
      <c r="K15" s="117">
        <f t="shared" si="4"/>
        <v>106.57</v>
      </c>
      <c r="L15" s="117">
        <f t="shared" si="4"/>
        <v>0</v>
      </c>
      <c r="M15" s="117">
        <f t="shared" si="4"/>
        <v>74.8</v>
      </c>
      <c r="N15" s="117"/>
      <c r="O15" s="117"/>
      <c r="P15" s="118"/>
      <c r="Q15" s="118"/>
      <c r="R15" s="119"/>
      <c r="S15" s="119">
        <f>S16+S17</f>
        <v>3.45</v>
      </c>
      <c r="T15" s="120">
        <f t="shared" si="4"/>
        <v>1606.84</v>
      </c>
    </row>
    <row r="16" spans="1:27">
      <c r="A16" s="213" t="s">
        <v>139</v>
      </c>
      <c r="B16" s="211" t="s">
        <v>134</v>
      </c>
      <c r="C16" s="211" t="s">
        <v>129</v>
      </c>
      <c r="D16" s="211" t="s">
        <v>135</v>
      </c>
      <c r="E16" s="211" t="s">
        <v>140</v>
      </c>
      <c r="F16" s="212" t="s">
        <v>141</v>
      </c>
      <c r="G16" s="117">
        <f>1260+156.12</f>
        <v>1416.12</v>
      </c>
      <c r="H16" s="121"/>
      <c r="I16" s="121"/>
      <c r="J16" s="121"/>
      <c r="K16" s="121"/>
      <c r="L16" s="121"/>
      <c r="M16" s="121">
        <v>74.8</v>
      </c>
      <c r="N16" s="121"/>
      <c r="O16" s="121"/>
      <c r="P16" s="122"/>
      <c r="Q16" s="122"/>
      <c r="R16" s="123"/>
      <c r="S16" s="123">
        <v>3.45</v>
      </c>
      <c r="T16" s="124">
        <v>1494.37</v>
      </c>
    </row>
    <row r="17" spans="1:20">
      <c r="A17" s="214" t="s">
        <v>142</v>
      </c>
      <c r="B17" s="211" t="s">
        <v>134</v>
      </c>
      <c r="C17" s="211" t="s">
        <v>129</v>
      </c>
      <c r="D17" s="211" t="s">
        <v>135</v>
      </c>
      <c r="E17" s="211" t="s">
        <v>140</v>
      </c>
      <c r="F17" s="212" t="s">
        <v>143</v>
      </c>
      <c r="G17" s="117">
        <v>6.8</v>
      </c>
      <c r="H17" s="121"/>
      <c r="I17" s="121"/>
      <c r="J17" s="121"/>
      <c r="K17" s="121">
        <v>106.57</v>
      </c>
      <c r="L17" s="121"/>
      <c r="M17" s="121"/>
      <c r="N17" s="121"/>
      <c r="O17" s="121"/>
      <c r="P17" s="122"/>
      <c r="Q17" s="122"/>
      <c r="R17" s="123"/>
      <c r="S17" s="123"/>
      <c r="T17" s="124">
        <v>112.47</v>
      </c>
    </row>
    <row r="18" spans="1:20" s="6" customFormat="1" ht="63" customHeight="1">
      <c r="A18" s="215" t="s">
        <v>553</v>
      </c>
      <c r="B18" s="209" t="s">
        <v>134</v>
      </c>
      <c r="C18" s="209" t="s">
        <v>129</v>
      </c>
      <c r="D18" s="209" t="s">
        <v>135</v>
      </c>
      <c r="E18" s="209" t="s">
        <v>554</v>
      </c>
      <c r="F18" s="207"/>
      <c r="G18" s="113"/>
      <c r="H18" s="125"/>
      <c r="I18" s="125"/>
      <c r="J18" s="125"/>
      <c r="K18" s="125"/>
      <c r="L18" s="125"/>
      <c r="M18" s="125"/>
      <c r="N18" s="125"/>
      <c r="O18" s="125"/>
      <c r="P18" s="126"/>
      <c r="Q18" s="126"/>
      <c r="R18" s="127">
        <f>R19</f>
        <v>65.55</v>
      </c>
      <c r="S18" s="127"/>
      <c r="T18" s="126">
        <f>T19</f>
        <v>65.55</v>
      </c>
    </row>
    <row r="19" spans="1:20">
      <c r="A19" s="213" t="s">
        <v>139</v>
      </c>
      <c r="B19" s="211" t="s">
        <v>134</v>
      </c>
      <c r="C19" s="211" t="s">
        <v>129</v>
      </c>
      <c r="D19" s="211" t="s">
        <v>135</v>
      </c>
      <c r="E19" s="211" t="s">
        <v>554</v>
      </c>
      <c r="F19" s="212" t="s">
        <v>141</v>
      </c>
      <c r="G19" s="117"/>
      <c r="H19" s="121"/>
      <c r="I19" s="121"/>
      <c r="J19" s="121"/>
      <c r="K19" s="121"/>
      <c r="L19" s="121"/>
      <c r="M19" s="121"/>
      <c r="N19" s="121"/>
      <c r="O19" s="121"/>
      <c r="P19" s="122"/>
      <c r="Q19" s="122"/>
      <c r="R19" s="123">
        <v>65.55</v>
      </c>
      <c r="S19" s="123"/>
      <c r="T19" s="122">
        <v>65.55</v>
      </c>
    </row>
    <row r="20" spans="1:20" ht="33.75">
      <c r="A20" s="216" t="s">
        <v>144</v>
      </c>
      <c r="B20" s="209"/>
      <c r="C20" s="209" t="s">
        <v>129</v>
      </c>
      <c r="D20" s="209" t="s">
        <v>145</v>
      </c>
      <c r="E20" s="209"/>
      <c r="F20" s="207"/>
      <c r="G20" s="113">
        <f>G21+G29</f>
        <v>30313.962999999996</v>
      </c>
      <c r="H20" s="113">
        <f t="shared" ref="H20:Q20" si="5">H21+H29</f>
        <v>180</v>
      </c>
      <c r="I20" s="113">
        <f t="shared" si="5"/>
        <v>0</v>
      </c>
      <c r="J20" s="113">
        <f t="shared" si="5"/>
        <v>0</v>
      </c>
      <c r="K20" s="113">
        <f t="shared" si="5"/>
        <v>-106.57</v>
      </c>
      <c r="L20" s="113">
        <f t="shared" si="5"/>
        <v>0</v>
      </c>
      <c r="M20" s="113">
        <f t="shared" si="5"/>
        <v>-124.53</v>
      </c>
      <c r="N20" s="113">
        <f t="shared" si="5"/>
        <v>0</v>
      </c>
      <c r="O20" s="113">
        <f t="shared" si="5"/>
        <v>0</v>
      </c>
      <c r="P20" s="114">
        <f t="shared" si="5"/>
        <v>490.16492999999997</v>
      </c>
      <c r="Q20" s="114">
        <f t="shared" si="5"/>
        <v>183.62</v>
      </c>
      <c r="R20" s="113">
        <f>R21+R29+R31</f>
        <v>943.02</v>
      </c>
      <c r="S20" s="113">
        <f>S21+S29+S31</f>
        <v>2039.6300000000003</v>
      </c>
      <c r="T20" s="114">
        <f>T21+T29++T31</f>
        <v>33788.598699999995</v>
      </c>
    </row>
    <row r="21" spans="1:20" s="6" customFormat="1">
      <c r="A21" s="208" t="s">
        <v>146</v>
      </c>
      <c r="B21" s="209" t="s">
        <v>134</v>
      </c>
      <c r="C21" s="209" t="s">
        <v>129</v>
      </c>
      <c r="D21" s="209" t="s">
        <v>145</v>
      </c>
      <c r="E21" s="209" t="s">
        <v>147</v>
      </c>
      <c r="F21" s="207"/>
      <c r="G21" s="113">
        <f t="shared" ref="G21:R21" si="6">G22+G23+G25+G27+G28+G24+G26</f>
        <v>30313.962999999996</v>
      </c>
      <c r="H21" s="113">
        <f t="shared" si="6"/>
        <v>180</v>
      </c>
      <c r="I21" s="113">
        <f t="shared" si="6"/>
        <v>0</v>
      </c>
      <c r="J21" s="113">
        <f t="shared" si="6"/>
        <v>0</v>
      </c>
      <c r="K21" s="113">
        <f t="shared" si="6"/>
        <v>-106.57</v>
      </c>
      <c r="L21" s="113">
        <f t="shared" si="6"/>
        <v>0</v>
      </c>
      <c r="M21" s="113">
        <f t="shared" si="6"/>
        <v>-124.53</v>
      </c>
      <c r="N21" s="113">
        <f t="shared" si="6"/>
        <v>0</v>
      </c>
      <c r="O21" s="113">
        <f t="shared" si="6"/>
        <v>0</v>
      </c>
      <c r="P21" s="114">
        <f t="shared" si="6"/>
        <v>394.33492999999999</v>
      </c>
      <c r="Q21" s="114">
        <f t="shared" si="6"/>
        <v>183.62</v>
      </c>
      <c r="R21" s="113">
        <f t="shared" si="6"/>
        <v>0</v>
      </c>
      <c r="S21" s="113">
        <f>S22+S23+S25+S27+S28+S24+S26</f>
        <v>2039.6300000000003</v>
      </c>
      <c r="T21" s="116">
        <f>T22+T23+T25+T27+T28+T24+T26</f>
        <v>32749.748699999996</v>
      </c>
    </row>
    <row r="22" spans="1:20">
      <c r="A22" s="213" t="s">
        <v>139</v>
      </c>
      <c r="B22" s="211" t="s">
        <v>134</v>
      </c>
      <c r="C22" s="211" t="s">
        <v>129</v>
      </c>
      <c r="D22" s="211" t="s">
        <v>145</v>
      </c>
      <c r="E22" s="211" t="s">
        <v>148</v>
      </c>
      <c r="F22" s="212" t="s">
        <v>141</v>
      </c>
      <c r="G22" s="117">
        <f>14898.405+4872.909</f>
        <v>19771.313999999998</v>
      </c>
      <c r="H22" s="121"/>
      <c r="I22" s="121"/>
      <c r="J22" s="121"/>
      <c r="K22" s="121"/>
      <c r="L22" s="121"/>
      <c r="M22" s="121">
        <v>-124.53</v>
      </c>
      <c r="N22" s="121"/>
      <c r="O22" s="121"/>
      <c r="P22" s="122"/>
      <c r="Q22" s="122"/>
      <c r="R22" s="123"/>
      <c r="S22" s="123">
        <f>49.63+1990+595</f>
        <v>2634.63</v>
      </c>
      <c r="T22" s="124">
        <v>22271.925950000001</v>
      </c>
    </row>
    <row r="23" spans="1:20">
      <c r="A23" s="214" t="s">
        <v>142</v>
      </c>
      <c r="B23" s="211" t="s">
        <v>134</v>
      </c>
      <c r="C23" s="211" t="s">
        <v>129</v>
      </c>
      <c r="D23" s="211" t="s">
        <v>145</v>
      </c>
      <c r="E23" s="211" t="s">
        <v>148</v>
      </c>
      <c r="F23" s="212" t="s">
        <v>143</v>
      </c>
      <c r="G23" s="117">
        <v>1095</v>
      </c>
      <c r="H23" s="121"/>
      <c r="I23" s="121"/>
      <c r="J23" s="121"/>
      <c r="K23" s="121">
        <v>-106.57</v>
      </c>
      <c r="L23" s="121"/>
      <c r="M23" s="121"/>
      <c r="N23" s="121"/>
      <c r="O23" s="121"/>
      <c r="P23" s="122"/>
      <c r="Q23" s="122"/>
      <c r="R23" s="123"/>
      <c r="S23" s="123">
        <f>4.76-25.4079-56.39885</f>
        <v>-77.046750000000003</v>
      </c>
      <c r="T23" s="124">
        <v>911.38324999999998</v>
      </c>
    </row>
    <row r="24" spans="1:20" ht="22.5">
      <c r="A24" s="214" t="s">
        <v>149</v>
      </c>
      <c r="B24" s="211" t="s">
        <v>134</v>
      </c>
      <c r="C24" s="211" t="s">
        <v>129</v>
      </c>
      <c r="D24" s="211" t="s">
        <v>145</v>
      </c>
      <c r="E24" s="211" t="s">
        <v>148</v>
      </c>
      <c r="F24" s="212" t="s">
        <v>150</v>
      </c>
      <c r="G24" s="117">
        <v>940</v>
      </c>
      <c r="H24" s="121"/>
      <c r="I24" s="121"/>
      <c r="J24" s="121"/>
      <c r="K24" s="121"/>
      <c r="L24" s="121"/>
      <c r="M24" s="121"/>
      <c r="N24" s="121"/>
      <c r="O24" s="121"/>
      <c r="P24" s="122"/>
      <c r="Q24" s="122">
        <v>-100</v>
      </c>
      <c r="R24" s="123"/>
      <c r="S24" s="123">
        <v>-42.76</v>
      </c>
      <c r="T24" s="124">
        <v>785.41566999999998</v>
      </c>
    </row>
    <row r="25" spans="1:20">
      <c r="A25" s="214" t="s">
        <v>151</v>
      </c>
      <c r="B25" s="211" t="s">
        <v>134</v>
      </c>
      <c r="C25" s="211" t="s">
        <v>129</v>
      </c>
      <c r="D25" s="211" t="s">
        <v>145</v>
      </c>
      <c r="E25" s="211" t="s">
        <v>148</v>
      </c>
      <c r="F25" s="212" t="s">
        <v>152</v>
      </c>
      <c r="G25" s="117">
        <v>8192.6489999999994</v>
      </c>
      <c r="H25" s="121">
        <v>180</v>
      </c>
      <c r="I25" s="121"/>
      <c r="J25" s="121"/>
      <c r="K25" s="121"/>
      <c r="L25" s="121"/>
      <c r="M25" s="121"/>
      <c r="N25" s="121"/>
      <c r="O25" s="121"/>
      <c r="P25" s="122">
        <v>394.33492999999999</v>
      </c>
      <c r="Q25" s="122">
        <f>180-0.55+230</f>
        <v>409.45</v>
      </c>
      <c r="R25" s="123"/>
      <c r="S25" s="123">
        <f>38+40.89923-538.60115</f>
        <v>-459.70191999999997</v>
      </c>
      <c r="T25" s="124">
        <v>8607.3451600000008</v>
      </c>
    </row>
    <row r="26" spans="1:20" ht="56.25">
      <c r="A26" s="214" t="s">
        <v>153</v>
      </c>
      <c r="B26" s="211" t="s">
        <v>134</v>
      </c>
      <c r="C26" s="211" t="s">
        <v>129</v>
      </c>
      <c r="D26" s="211" t="s">
        <v>145</v>
      </c>
      <c r="E26" s="211" t="s">
        <v>148</v>
      </c>
      <c r="F26" s="212" t="s">
        <v>154</v>
      </c>
      <c r="G26" s="117"/>
      <c r="H26" s="121"/>
      <c r="I26" s="121">
        <v>5.5</v>
      </c>
      <c r="J26" s="121"/>
      <c r="K26" s="121"/>
      <c r="L26" s="121"/>
      <c r="M26" s="121">
        <v>8</v>
      </c>
      <c r="N26" s="121"/>
      <c r="O26" s="121"/>
      <c r="P26" s="122"/>
      <c r="Q26" s="122"/>
      <c r="R26" s="123"/>
      <c r="S26" s="123"/>
      <c r="T26" s="124">
        <v>13.5</v>
      </c>
    </row>
    <row r="27" spans="1:20">
      <c r="A27" s="217" t="s">
        <v>155</v>
      </c>
      <c r="B27" s="211" t="s">
        <v>134</v>
      </c>
      <c r="C27" s="211" t="s">
        <v>129</v>
      </c>
      <c r="D27" s="211" t="s">
        <v>145</v>
      </c>
      <c r="E27" s="211" t="s">
        <v>148</v>
      </c>
      <c r="F27" s="212" t="s">
        <v>156</v>
      </c>
      <c r="G27" s="117">
        <v>309.5</v>
      </c>
      <c r="H27" s="121"/>
      <c r="I27" s="121">
        <v>-5.5</v>
      </c>
      <c r="J27" s="121"/>
      <c r="K27" s="121"/>
      <c r="L27" s="121"/>
      <c r="M27" s="121">
        <v>-8</v>
      </c>
      <c r="N27" s="121"/>
      <c r="O27" s="121"/>
      <c r="P27" s="122"/>
      <c r="Q27" s="122">
        <f>-30-95.83</f>
        <v>-125.83</v>
      </c>
      <c r="R27" s="123"/>
      <c r="S27" s="123">
        <v>-14.12228</v>
      </c>
      <c r="T27" s="124">
        <v>156.04772</v>
      </c>
    </row>
    <row r="28" spans="1:20">
      <c r="A28" s="217" t="s">
        <v>157</v>
      </c>
      <c r="B28" s="211" t="s">
        <v>134</v>
      </c>
      <c r="C28" s="211" t="s">
        <v>129</v>
      </c>
      <c r="D28" s="211" t="s">
        <v>145</v>
      </c>
      <c r="E28" s="211" t="s">
        <v>148</v>
      </c>
      <c r="F28" s="212" t="s">
        <v>158</v>
      </c>
      <c r="G28" s="117">
        <v>5.5</v>
      </c>
      <c r="H28" s="121"/>
      <c r="I28" s="121"/>
      <c r="J28" s="121"/>
      <c r="K28" s="121"/>
      <c r="L28" s="121"/>
      <c r="M28" s="121"/>
      <c r="N28" s="121"/>
      <c r="O28" s="121"/>
      <c r="P28" s="122"/>
      <c r="Q28" s="122"/>
      <c r="R28" s="123"/>
      <c r="S28" s="123">
        <v>-1.3690500000000001</v>
      </c>
      <c r="T28" s="124">
        <v>4.1309500000000003</v>
      </c>
    </row>
    <row r="29" spans="1:20" ht="21.75" customHeight="1">
      <c r="A29" s="218" t="s">
        <v>555</v>
      </c>
      <c r="B29" s="209" t="s">
        <v>134</v>
      </c>
      <c r="C29" s="209" t="s">
        <v>129</v>
      </c>
      <c r="D29" s="209" t="s">
        <v>145</v>
      </c>
      <c r="E29" s="209" t="s">
        <v>549</v>
      </c>
      <c r="F29" s="207"/>
      <c r="G29" s="117"/>
      <c r="H29" s="121"/>
      <c r="I29" s="121"/>
      <c r="J29" s="121"/>
      <c r="K29" s="121"/>
      <c r="L29" s="121"/>
      <c r="M29" s="121"/>
      <c r="N29" s="121"/>
      <c r="O29" s="121"/>
      <c r="P29" s="126">
        <f>P30</f>
        <v>95.83</v>
      </c>
      <c r="Q29" s="126">
        <f>Q30</f>
        <v>0</v>
      </c>
      <c r="R29" s="125"/>
      <c r="S29" s="125"/>
      <c r="T29" s="126">
        <f>T30</f>
        <v>95.83</v>
      </c>
    </row>
    <row r="30" spans="1:20">
      <c r="A30" s="214" t="s">
        <v>155</v>
      </c>
      <c r="B30" s="211" t="s">
        <v>134</v>
      </c>
      <c r="C30" s="211" t="s">
        <v>129</v>
      </c>
      <c r="D30" s="211" t="s">
        <v>145</v>
      </c>
      <c r="E30" s="211" t="s">
        <v>549</v>
      </c>
      <c r="F30" s="212" t="s">
        <v>156</v>
      </c>
      <c r="G30" s="117"/>
      <c r="H30" s="121"/>
      <c r="I30" s="121"/>
      <c r="J30" s="121"/>
      <c r="K30" s="121"/>
      <c r="L30" s="121"/>
      <c r="M30" s="121"/>
      <c r="N30" s="121"/>
      <c r="O30" s="121"/>
      <c r="P30" s="122">
        <v>95.83</v>
      </c>
      <c r="Q30" s="122"/>
      <c r="R30" s="123"/>
      <c r="S30" s="123"/>
      <c r="T30" s="124">
        <f>P30</f>
        <v>95.83</v>
      </c>
    </row>
    <row r="31" spans="1:20" s="6" customFormat="1" ht="54.75" customHeight="1">
      <c r="A31" s="215" t="s">
        <v>553</v>
      </c>
      <c r="B31" s="209" t="s">
        <v>134</v>
      </c>
      <c r="C31" s="209" t="s">
        <v>129</v>
      </c>
      <c r="D31" s="209" t="s">
        <v>145</v>
      </c>
      <c r="E31" s="209" t="s">
        <v>554</v>
      </c>
      <c r="F31" s="207"/>
      <c r="G31" s="113"/>
      <c r="H31" s="125"/>
      <c r="I31" s="125"/>
      <c r="J31" s="125"/>
      <c r="K31" s="125"/>
      <c r="L31" s="125"/>
      <c r="M31" s="125"/>
      <c r="N31" s="125"/>
      <c r="O31" s="125"/>
      <c r="P31" s="126"/>
      <c r="Q31" s="126"/>
      <c r="R31" s="127">
        <f>R32</f>
        <v>943.02</v>
      </c>
      <c r="S31" s="127"/>
      <c r="T31" s="128">
        <f>T32</f>
        <v>943.02</v>
      </c>
    </row>
    <row r="32" spans="1:20">
      <c r="A32" s="213" t="s">
        <v>139</v>
      </c>
      <c r="B32" s="211" t="s">
        <v>134</v>
      </c>
      <c r="C32" s="211" t="s">
        <v>129</v>
      </c>
      <c r="D32" s="211" t="s">
        <v>145</v>
      </c>
      <c r="E32" s="211" t="s">
        <v>554</v>
      </c>
      <c r="F32" s="212" t="s">
        <v>141</v>
      </c>
      <c r="G32" s="117"/>
      <c r="H32" s="121"/>
      <c r="I32" s="121"/>
      <c r="J32" s="121"/>
      <c r="K32" s="121"/>
      <c r="L32" s="121"/>
      <c r="M32" s="121"/>
      <c r="N32" s="121"/>
      <c r="O32" s="121"/>
      <c r="P32" s="122"/>
      <c r="Q32" s="122"/>
      <c r="R32" s="123">
        <v>943.02</v>
      </c>
      <c r="S32" s="123"/>
      <c r="T32" s="124">
        <f>R32</f>
        <v>943.02</v>
      </c>
    </row>
    <row r="33" spans="1:22" s="6" customFormat="1">
      <c r="A33" s="208" t="s">
        <v>556</v>
      </c>
      <c r="B33" s="209"/>
      <c r="C33" s="209" t="s">
        <v>129</v>
      </c>
      <c r="D33" s="209" t="s">
        <v>159</v>
      </c>
      <c r="E33" s="209"/>
      <c r="F33" s="207"/>
      <c r="G33" s="113">
        <f t="shared" ref="G33:T33" si="7">G34</f>
        <v>24.4</v>
      </c>
      <c r="H33" s="113">
        <f t="shared" si="7"/>
        <v>0</v>
      </c>
      <c r="I33" s="113">
        <f t="shared" si="7"/>
        <v>0</v>
      </c>
      <c r="J33" s="113">
        <f t="shared" si="7"/>
        <v>0</v>
      </c>
      <c r="K33" s="113">
        <f t="shared" si="7"/>
        <v>0</v>
      </c>
      <c r="L33" s="113">
        <f t="shared" si="7"/>
        <v>0</v>
      </c>
      <c r="M33" s="113">
        <f t="shared" si="7"/>
        <v>0</v>
      </c>
      <c r="N33" s="113">
        <f t="shared" si="7"/>
        <v>0</v>
      </c>
      <c r="O33" s="113">
        <f t="shared" si="7"/>
        <v>0</v>
      </c>
      <c r="P33" s="114">
        <f t="shared" si="7"/>
        <v>0</v>
      </c>
      <c r="Q33" s="114">
        <f t="shared" si="7"/>
        <v>0</v>
      </c>
      <c r="R33" s="115"/>
      <c r="S33" s="115"/>
      <c r="T33" s="116">
        <f t="shared" si="7"/>
        <v>24.4</v>
      </c>
    </row>
    <row r="34" spans="1:22" s="7" customFormat="1" ht="33.75">
      <c r="A34" s="208" t="s">
        <v>160</v>
      </c>
      <c r="B34" s="209" t="s">
        <v>134</v>
      </c>
      <c r="C34" s="209" t="s">
        <v>129</v>
      </c>
      <c r="D34" s="209" t="s">
        <v>159</v>
      </c>
      <c r="E34" s="209" t="s">
        <v>161</v>
      </c>
      <c r="F34" s="207"/>
      <c r="G34" s="113">
        <f t="shared" ref="G34:Q34" si="8">G36</f>
        <v>24.4</v>
      </c>
      <c r="H34" s="113">
        <f t="shared" si="8"/>
        <v>0</v>
      </c>
      <c r="I34" s="113">
        <f t="shared" si="8"/>
        <v>0</v>
      </c>
      <c r="J34" s="113">
        <f t="shared" si="8"/>
        <v>0</v>
      </c>
      <c r="K34" s="113">
        <f t="shared" si="8"/>
        <v>0</v>
      </c>
      <c r="L34" s="113">
        <f t="shared" si="8"/>
        <v>0</v>
      </c>
      <c r="M34" s="113">
        <f t="shared" si="8"/>
        <v>0</v>
      </c>
      <c r="N34" s="113">
        <f t="shared" si="8"/>
        <v>0</v>
      </c>
      <c r="O34" s="113">
        <f t="shared" si="8"/>
        <v>0</v>
      </c>
      <c r="P34" s="114">
        <f t="shared" si="8"/>
        <v>0</v>
      </c>
      <c r="Q34" s="114">
        <f t="shared" si="8"/>
        <v>0</v>
      </c>
      <c r="R34" s="115"/>
      <c r="S34" s="115"/>
      <c r="T34" s="116">
        <f>T36+T35</f>
        <v>24.4</v>
      </c>
    </row>
    <row r="35" spans="1:22" s="7" customFormat="1" ht="22.5">
      <c r="A35" s="214" t="s">
        <v>149</v>
      </c>
      <c r="B35" s="211" t="s">
        <v>134</v>
      </c>
      <c r="C35" s="211" t="s">
        <v>129</v>
      </c>
      <c r="D35" s="211" t="s">
        <v>159</v>
      </c>
      <c r="E35" s="211" t="s">
        <v>161</v>
      </c>
      <c r="F35" s="212" t="s">
        <v>150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4"/>
      <c r="R35" s="115"/>
      <c r="S35" s="115"/>
      <c r="T35" s="120">
        <v>4.5</v>
      </c>
    </row>
    <row r="36" spans="1:22">
      <c r="A36" s="214" t="s">
        <v>151</v>
      </c>
      <c r="B36" s="211" t="s">
        <v>134</v>
      </c>
      <c r="C36" s="211" t="s">
        <v>129</v>
      </c>
      <c r="D36" s="211" t="s">
        <v>159</v>
      </c>
      <c r="E36" s="211" t="s">
        <v>161</v>
      </c>
      <c r="F36" s="212" t="s">
        <v>152</v>
      </c>
      <c r="G36" s="117">
        <v>24.4</v>
      </c>
      <c r="H36" s="121"/>
      <c r="I36" s="121"/>
      <c r="J36" s="121"/>
      <c r="K36" s="121"/>
      <c r="L36" s="121"/>
      <c r="M36" s="121"/>
      <c r="N36" s="121"/>
      <c r="O36" s="121"/>
      <c r="P36" s="122"/>
      <c r="Q36" s="122"/>
      <c r="R36" s="123"/>
      <c r="S36" s="123"/>
      <c r="T36" s="124">
        <v>19.899999999999999</v>
      </c>
    </row>
    <row r="37" spans="1:22" ht="22.5">
      <c r="A37" s="219" t="s">
        <v>162</v>
      </c>
      <c r="B37" s="211"/>
      <c r="C37" s="209" t="s">
        <v>129</v>
      </c>
      <c r="D37" s="209" t="s">
        <v>163</v>
      </c>
      <c r="E37" s="211"/>
      <c r="F37" s="212"/>
      <c r="G37" s="129">
        <f t="shared" ref="G37:Q37" si="9">G38</f>
        <v>1214.9179999999999</v>
      </c>
      <c r="H37" s="129">
        <f t="shared" si="9"/>
        <v>0</v>
      </c>
      <c r="I37" s="129">
        <f t="shared" si="9"/>
        <v>0</v>
      </c>
      <c r="J37" s="129">
        <f t="shared" si="9"/>
        <v>0</v>
      </c>
      <c r="K37" s="129">
        <f t="shared" si="9"/>
        <v>0</v>
      </c>
      <c r="L37" s="129">
        <f t="shared" si="9"/>
        <v>0</v>
      </c>
      <c r="M37" s="129">
        <f t="shared" si="9"/>
        <v>49.73</v>
      </c>
      <c r="N37" s="129">
        <f t="shared" si="9"/>
        <v>0</v>
      </c>
      <c r="O37" s="129">
        <f t="shared" si="9"/>
        <v>0</v>
      </c>
      <c r="P37" s="130">
        <f t="shared" si="9"/>
        <v>0</v>
      </c>
      <c r="Q37" s="130">
        <f t="shared" si="9"/>
        <v>-50</v>
      </c>
      <c r="R37" s="129">
        <f>R38+R41</f>
        <v>53.2</v>
      </c>
      <c r="S37" s="129">
        <f>S38+S41</f>
        <v>2.8</v>
      </c>
      <c r="T37" s="131">
        <f>T38+T41</f>
        <v>1270.6480000000001</v>
      </c>
    </row>
    <row r="38" spans="1:22" s="6" customFormat="1" ht="22.5">
      <c r="A38" s="216" t="s">
        <v>164</v>
      </c>
      <c r="B38" s="209" t="s">
        <v>134</v>
      </c>
      <c r="C38" s="209" t="s">
        <v>129</v>
      </c>
      <c r="D38" s="209" t="s">
        <v>163</v>
      </c>
      <c r="E38" s="209" t="s">
        <v>165</v>
      </c>
      <c r="F38" s="207"/>
      <c r="G38" s="113">
        <f t="shared" ref="G38:Q38" si="10">G39+G40</f>
        <v>1214.9179999999999</v>
      </c>
      <c r="H38" s="113">
        <f t="shared" si="10"/>
        <v>0</v>
      </c>
      <c r="I38" s="113">
        <f t="shared" si="10"/>
        <v>0</v>
      </c>
      <c r="J38" s="113">
        <f t="shared" si="10"/>
        <v>0</v>
      </c>
      <c r="K38" s="113">
        <f t="shared" si="10"/>
        <v>0</v>
      </c>
      <c r="L38" s="113">
        <f t="shared" si="10"/>
        <v>0</v>
      </c>
      <c r="M38" s="113">
        <f t="shared" si="10"/>
        <v>49.73</v>
      </c>
      <c r="N38" s="113">
        <f t="shared" si="10"/>
        <v>0</v>
      </c>
      <c r="O38" s="113">
        <f t="shared" si="10"/>
        <v>0</v>
      </c>
      <c r="P38" s="114">
        <f t="shared" si="10"/>
        <v>0</v>
      </c>
      <c r="Q38" s="114">
        <f t="shared" si="10"/>
        <v>-50</v>
      </c>
      <c r="R38" s="115"/>
      <c r="S38" s="115">
        <f>S39+S40</f>
        <v>2.8</v>
      </c>
      <c r="T38" s="116">
        <f>T39+T40</f>
        <v>1217.4480000000001</v>
      </c>
    </row>
    <row r="39" spans="1:22">
      <c r="A39" s="213" t="s">
        <v>139</v>
      </c>
      <c r="B39" s="211" t="s">
        <v>134</v>
      </c>
      <c r="C39" s="211" t="s">
        <v>129</v>
      </c>
      <c r="D39" s="211" t="s">
        <v>163</v>
      </c>
      <c r="E39" s="211" t="s">
        <v>165</v>
      </c>
      <c r="F39" s="212" t="s">
        <v>141</v>
      </c>
      <c r="G39" s="117">
        <f>1009.3+155.618</f>
        <v>1164.9179999999999</v>
      </c>
      <c r="H39" s="121"/>
      <c r="I39" s="121"/>
      <c r="J39" s="121"/>
      <c r="K39" s="121"/>
      <c r="L39" s="121"/>
      <c r="M39" s="121">
        <v>49.73</v>
      </c>
      <c r="N39" s="121"/>
      <c r="O39" s="121"/>
      <c r="P39" s="122"/>
      <c r="Q39" s="122"/>
      <c r="R39" s="123"/>
      <c r="S39" s="123">
        <v>2.8</v>
      </c>
      <c r="T39" s="124">
        <v>1217.4480000000001</v>
      </c>
    </row>
    <row r="40" spans="1:22">
      <c r="A40" s="214" t="s">
        <v>142</v>
      </c>
      <c r="B40" s="211" t="s">
        <v>134</v>
      </c>
      <c r="C40" s="211" t="s">
        <v>129</v>
      </c>
      <c r="D40" s="211" t="s">
        <v>163</v>
      </c>
      <c r="E40" s="211" t="s">
        <v>165</v>
      </c>
      <c r="F40" s="212" t="s">
        <v>143</v>
      </c>
      <c r="G40" s="117">
        <v>50</v>
      </c>
      <c r="H40" s="121"/>
      <c r="I40" s="121"/>
      <c r="J40" s="121"/>
      <c r="K40" s="121"/>
      <c r="L40" s="121"/>
      <c r="M40" s="121"/>
      <c r="N40" s="121"/>
      <c r="O40" s="121"/>
      <c r="P40" s="122"/>
      <c r="Q40" s="122">
        <v>-50</v>
      </c>
      <c r="R40" s="123"/>
      <c r="S40" s="123"/>
      <c r="T40" s="124">
        <v>0</v>
      </c>
    </row>
    <row r="41" spans="1:22" s="6" customFormat="1" ht="55.5" customHeight="1">
      <c r="A41" s="215" t="s">
        <v>553</v>
      </c>
      <c r="B41" s="209" t="s">
        <v>134</v>
      </c>
      <c r="C41" s="209" t="s">
        <v>129</v>
      </c>
      <c r="D41" s="209" t="s">
        <v>163</v>
      </c>
      <c r="E41" s="209" t="s">
        <v>554</v>
      </c>
      <c r="F41" s="207"/>
      <c r="G41" s="113"/>
      <c r="H41" s="125"/>
      <c r="I41" s="125"/>
      <c r="J41" s="125"/>
      <c r="K41" s="125"/>
      <c r="L41" s="125"/>
      <c r="M41" s="125"/>
      <c r="N41" s="125"/>
      <c r="O41" s="125"/>
      <c r="P41" s="126"/>
      <c r="Q41" s="126"/>
      <c r="R41" s="127">
        <f>R42</f>
        <v>53.2</v>
      </c>
      <c r="S41" s="127"/>
      <c r="T41" s="128">
        <f>T42</f>
        <v>53.2</v>
      </c>
    </row>
    <row r="42" spans="1:22">
      <c r="A42" s="213" t="s">
        <v>139</v>
      </c>
      <c r="B42" s="211" t="s">
        <v>134</v>
      </c>
      <c r="C42" s="211" t="s">
        <v>129</v>
      </c>
      <c r="D42" s="211" t="s">
        <v>163</v>
      </c>
      <c r="E42" s="211" t="s">
        <v>554</v>
      </c>
      <c r="F42" s="212" t="s">
        <v>141</v>
      </c>
      <c r="G42" s="117"/>
      <c r="H42" s="121"/>
      <c r="I42" s="121"/>
      <c r="J42" s="121"/>
      <c r="K42" s="121"/>
      <c r="L42" s="121"/>
      <c r="M42" s="121"/>
      <c r="N42" s="121"/>
      <c r="O42" s="121"/>
      <c r="P42" s="122"/>
      <c r="Q42" s="122"/>
      <c r="R42" s="123">
        <v>53.2</v>
      </c>
      <c r="S42" s="123"/>
      <c r="T42" s="124">
        <v>53.2</v>
      </c>
    </row>
    <row r="43" spans="1:22">
      <c r="A43" s="208" t="s">
        <v>166</v>
      </c>
      <c r="B43" s="211"/>
      <c r="C43" s="209" t="s">
        <v>129</v>
      </c>
      <c r="D43" s="209" t="s">
        <v>167</v>
      </c>
      <c r="E43" s="209"/>
      <c r="F43" s="207"/>
      <c r="G43" s="113">
        <f t="shared" ref="G43:T44" si="11">G44</f>
        <v>10500</v>
      </c>
      <c r="H43" s="113">
        <f t="shared" si="11"/>
        <v>0</v>
      </c>
      <c r="I43" s="113">
        <f t="shared" si="11"/>
        <v>0</v>
      </c>
      <c r="J43" s="113">
        <f t="shared" si="11"/>
        <v>-2300</v>
      </c>
      <c r="K43" s="113">
        <f t="shared" si="11"/>
        <v>-10</v>
      </c>
      <c r="L43" s="113">
        <f t="shared" si="11"/>
        <v>3633.88717</v>
      </c>
      <c r="M43" s="113">
        <f t="shared" si="11"/>
        <v>-5181.6720000000005</v>
      </c>
      <c r="N43" s="113">
        <f t="shared" si="11"/>
        <v>0</v>
      </c>
      <c r="O43" s="113">
        <f t="shared" si="11"/>
        <v>-6458.6080200000006</v>
      </c>
      <c r="P43" s="114">
        <f t="shared" si="11"/>
        <v>0</v>
      </c>
      <c r="Q43" s="114">
        <f t="shared" si="11"/>
        <v>296.14780000000002</v>
      </c>
      <c r="R43" s="115">
        <f>R44</f>
        <v>985.6</v>
      </c>
      <c r="S43" s="115">
        <f>S44</f>
        <v>-1465.3549499999997</v>
      </c>
      <c r="T43" s="116">
        <f t="shared" si="11"/>
        <v>0</v>
      </c>
    </row>
    <row r="44" spans="1:22">
      <c r="A44" s="210" t="s">
        <v>168</v>
      </c>
      <c r="B44" s="211" t="s">
        <v>134</v>
      </c>
      <c r="C44" s="211" t="s">
        <v>129</v>
      </c>
      <c r="D44" s="211" t="s">
        <v>167</v>
      </c>
      <c r="E44" s="211" t="s">
        <v>169</v>
      </c>
      <c r="F44" s="212"/>
      <c r="G44" s="117">
        <f t="shared" si="11"/>
        <v>10500</v>
      </c>
      <c r="H44" s="117">
        <f t="shared" si="11"/>
        <v>0</v>
      </c>
      <c r="I44" s="117">
        <f t="shared" si="11"/>
        <v>0</v>
      </c>
      <c r="J44" s="117">
        <f t="shared" si="11"/>
        <v>-2300</v>
      </c>
      <c r="K44" s="117">
        <f t="shared" si="11"/>
        <v>-10</v>
      </c>
      <c r="L44" s="117">
        <f t="shared" si="11"/>
        <v>3633.88717</v>
      </c>
      <c r="M44" s="117">
        <f t="shared" si="11"/>
        <v>-5181.6720000000005</v>
      </c>
      <c r="N44" s="117"/>
      <c r="O44" s="117">
        <f>O45</f>
        <v>-6458.6080200000006</v>
      </c>
      <c r="P44" s="118">
        <f t="shared" si="11"/>
        <v>0</v>
      </c>
      <c r="Q44" s="118">
        <f t="shared" si="11"/>
        <v>296.14780000000002</v>
      </c>
      <c r="R44" s="119">
        <f>R45</f>
        <v>985.6</v>
      </c>
      <c r="S44" s="119">
        <f>S45</f>
        <v>-1465.3549499999997</v>
      </c>
      <c r="T44" s="120">
        <v>0</v>
      </c>
    </row>
    <row r="45" spans="1:22">
      <c r="A45" s="220" t="s">
        <v>170</v>
      </c>
      <c r="B45" s="211" t="s">
        <v>134</v>
      </c>
      <c r="C45" s="211" t="s">
        <v>129</v>
      </c>
      <c r="D45" s="211" t="s">
        <v>167</v>
      </c>
      <c r="E45" s="211" t="s">
        <v>169</v>
      </c>
      <c r="F45" s="212" t="s">
        <v>171</v>
      </c>
      <c r="G45" s="117">
        <v>10500</v>
      </c>
      <c r="H45" s="121"/>
      <c r="I45" s="121"/>
      <c r="J45" s="121">
        <v>-2300</v>
      </c>
      <c r="K45" s="121">
        <v>-10</v>
      </c>
      <c r="L45" s="121">
        <v>3633.88717</v>
      </c>
      <c r="M45" s="121">
        <f>-30-5023.8-127.872</f>
        <v>-5181.6720000000005</v>
      </c>
      <c r="N45" s="121"/>
      <c r="O45" s="121">
        <f>-150-1500-3997.36402-890+660-543.314-37.93</f>
        <v>-6458.6080200000006</v>
      </c>
      <c r="P45" s="122"/>
      <c r="Q45" s="122">
        <f>-183.60715+603+230.3-353.54505</f>
        <v>296.14780000000002</v>
      </c>
      <c r="R45" s="123">
        <f>984.7+0.9</f>
        <v>985.6</v>
      </c>
      <c r="S45" s="123">
        <f>-558.56-10-877.43495-19.36</f>
        <v>-1465.3549499999997</v>
      </c>
      <c r="T45" s="124">
        <v>0</v>
      </c>
    </row>
    <row r="46" spans="1:22">
      <c r="A46" s="208" t="s">
        <v>172</v>
      </c>
      <c r="B46" s="211"/>
      <c r="C46" s="209" t="s">
        <v>129</v>
      </c>
      <c r="D46" s="209" t="s">
        <v>173</v>
      </c>
      <c r="E46" s="209"/>
      <c r="F46" s="207"/>
      <c r="G46" s="132">
        <f t="shared" ref="G46:N46" si="12">G47+G52+G56+G58+G63+G68+G70+G72+G77+G84+G86</f>
        <v>20510</v>
      </c>
      <c r="H46" s="132">
        <f t="shared" si="12"/>
        <v>4139</v>
      </c>
      <c r="I46" s="132">
        <f t="shared" si="12"/>
        <v>0</v>
      </c>
      <c r="J46" s="132">
        <f t="shared" si="12"/>
        <v>900</v>
      </c>
      <c r="K46" s="132">
        <f t="shared" si="12"/>
        <v>0</v>
      </c>
      <c r="L46" s="132">
        <f t="shared" si="12"/>
        <v>1000</v>
      </c>
      <c r="M46" s="132">
        <f t="shared" si="12"/>
        <v>127.872</v>
      </c>
      <c r="N46" s="132">
        <f t="shared" si="12"/>
        <v>245</v>
      </c>
      <c r="O46" s="132">
        <f>O47+O52+O56+O58+O63+O68+O70+O72+O77+O84+O86+O49</f>
        <v>-883.64700000000005</v>
      </c>
      <c r="P46" s="133">
        <f>P47+P52+P56+P58+P63+P68+P70+P72+P77+P84+P86+P49</f>
        <v>11260.496999999999</v>
      </c>
      <c r="Q46" s="133">
        <f>Q47+Q52+Q56+Q58+Q63+Q68+Q70+Q72+Q77+Q84+Q86+Q49</f>
        <v>1922.5029999999999</v>
      </c>
      <c r="R46" s="132">
        <f>R47+R52+R56+R58+R63+R68+R70+R72+R77+R84+R86+R49+R89</f>
        <v>37.15</v>
      </c>
      <c r="S46" s="132">
        <f>S47+S52+S56+S58+S63+S68+S70+S72+S77+S84+S86+S49+S89</f>
        <v>-50.679999999999936</v>
      </c>
      <c r="T46" s="133">
        <f>T47+T52+T56+T58+T63+T68+T70+T72+T77+T84+T86+T49+T954+T88</f>
        <v>38022.188110000003</v>
      </c>
      <c r="V46" s="8"/>
    </row>
    <row r="47" spans="1:22" ht="22.5">
      <c r="A47" s="208" t="s">
        <v>174</v>
      </c>
      <c r="B47" s="209" t="s">
        <v>134</v>
      </c>
      <c r="C47" s="209" t="s">
        <v>129</v>
      </c>
      <c r="D47" s="209" t="s">
        <v>173</v>
      </c>
      <c r="E47" s="209" t="s">
        <v>175</v>
      </c>
      <c r="F47" s="207"/>
      <c r="G47" s="132">
        <f t="shared" ref="G47:T47" si="13">G48</f>
        <v>180</v>
      </c>
      <c r="H47" s="132">
        <f t="shared" si="13"/>
        <v>0</v>
      </c>
      <c r="I47" s="132">
        <f t="shared" si="13"/>
        <v>0</v>
      </c>
      <c r="J47" s="132">
        <f t="shared" si="13"/>
        <v>0</v>
      </c>
      <c r="K47" s="132">
        <f t="shared" si="13"/>
        <v>0</v>
      </c>
      <c r="L47" s="132">
        <f t="shared" si="13"/>
        <v>0</v>
      </c>
      <c r="M47" s="132">
        <f t="shared" si="13"/>
        <v>0</v>
      </c>
      <c r="N47" s="132"/>
      <c r="O47" s="132"/>
      <c r="P47" s="133"/>
      <c r="Q47" s="133"/>
      <c r="R47" s="134"/>
      <c r="S47" s="134"/>
      <c r="T47" s="135">
        <f t="shared" si="13"/>
        <v>0</v>
      </c>
    </row>
    <row r="48" spans="1:22">
      <c r="A48" s="214" t="s">
        <v>151</v>
      </c>
      <c r="B48" s="211" t="s">
        <v>134</v>
      </c>
      <c r="C48" s="211" t="s">
        <v>129</v>
      </c>
      <c r="D48" s="211" t="s">
        <v>173</v>
      </c>
      <c r="E48" s="211" t="s">
        <v>175</v>
      </c>
      <c r="F48" s="212" t="s">
        <v>152</v>
      </c>
      <c r="G48" s="136">
        <v>180</v>
      </c>
      <c r="H48" s="121"/>
      <c r="I48" s="121"/>
      <c r="J48" s="121"/>
      <c r="K48" s="121"/>
      <c r="L48" s="121"/>
      <c r="M48" s="121"/>
      <c r="N48" s="121"/>
      <c r="O48" s="121"/>
      <c r="P48" s="122"/>
      <c r="Q48" s="122"/>
      <c r="R48" s="123"/>
      <c r="S48" s="123"/>
      <c r="T48" s="124">
        <v>0</v>
      </c>
    </row>
    <row r="49" spans="1:23" s="6" customFormat="1">
      <c r="A49" s="221" t="s">
        <v>557</v>
      </c>
      <c r="B49" s="209" t="s">
        <v>134</v>
      </c>
      <c r="C49" s="209" t="s">
        <v>129</v>
      </c>
      <c r="D49" s="209" t="s">
        <v>173</v>
      </c>
      <c r="E49" s="209" t="s">
        <v>558</v>
      </c>
      <c r="F49" s="207"/>
      <c r="G49" s="132"/>
      <c r="H49" s="125"/>
      <c r="I49" s="125"/>
      <c r="J49" s="125"/>
      <c r="K49" s="125"/>
      <c r="L49" s="125"/>
      <c r="M49" s="125"/>
      <c r="N49" s="125"/>
      <c r="O49" s="125">
        <f>O50</f>
        <v>716.35299999999995</v>
      </c>
      <c r="P49" s="126">
        <f>P50</f>
        <v>0</v>
      </c>
      <c r="Q49" s="126">
        <f>Q51</f>
        <v>1600</v>
      </c>
      <c r="R49" s="125">
        <f>R50</f>
        <v>0</v>
      </c>
      <c r="S49" s="125">
        <f>S50+S51</f>
        <v>-52.64</v>
      </c>
      <c r="T49" s="128">
        <f>T50+T51</f>
        <v>1619.36</v>
      </c>
    </row>
    <row r="50" spans="1:23">
      <c r="A50" s="214" t="s">
        <v>151</v>
      </c>
      <c r="B50" s="211" t="s">
        <v>134</v>
      </c>
      <c r="C50" s="211" t="s">
        <v>129</v>
      </c>
      <c r="D50" s="211" t="s">
        <v>173</v>
      </c>
      <c r="E50" s="211" t="s">
        <v>558</v>
      </c>
      <c r="F50" s="212" t="s">
        <v>152</v>
      </c>
      <c r="G50" s="136"/>
      <c r="H50" s="121"/>
      <c r="I50" s="121"/>
      <c r="J50" s="121"/>
      <c r="K50" s="121"/>
      <c r="L50" s="121"/>
      <c r="M50" s="121"/>
      <c r="N50" s="121"/>
      <c r="O50" s="121">
        <f>600+116.353</f>
        <v>716.35299999999995</v>
      </c>
      <c r="P50" s="122"/>
      <c r="Q50" s="122"/>
      <c r="R50" s="123"/>
      <c r="S50" s="123">
        <f>-72</f>
        <v>-72</v>
      </c>
      <c r="T50" s="124">
        <v>0</v>
      </c>
    </row>
    <row r="51" spans="1:23" ht="56.25">
      <c r="A51" s="214" t="s">
        <v>153</v>
      </c>
      <c r="B51" s="211" t="s">
        <v>134</v>
      </c>
      <c r="C51" s="211" t="s">
        <v>129</v>
      </c>
      <c r="D51" s="211" t="s">
        <v>173</v>
      </c>
      <c r="E51" s="211" t="s">
        <v>558</v>
      </c>
      <c r="F51" s="212" t="s">
        <v>154</v>
      </c>
      <c r="G51" s="136"/>
      <c r="H51" s="121"/>
      <c r="I51" s="121"/>
      <c r="J51" s="121"/>
      <c r="K51" s="121"/>
      <c r="L51" s="121"/>
      <c r="M51" s="121"/>
      <c r="N51" s="121"/>
      <c r="O51" s="121"/>
      <c r="P51" s="122"/>
      <c r="Q51" s="122">
        <v>1600</v>
      </c>
      <c r="R51" s="123"/>
      <c r="S51" s="123">
        <v>19.36</v>
      </c>
      <c r="T51" s="124">
        <v>1619.36</v>
      </c>
    </row>
    <row r="52" spans="1:23" s="6" customFormat="1" ht="22.5">
      <c r="A52" s="222" t="s">
        <v>653</v>
      </c>
      <c r="B52" s="209" t="s">
        <v>134</v>
      </c>
      <c r="C52" s="209" t="s">
        <v>129</v>
      </c>
      <c r="D52" s="209" t="s">
        <v>173</v>
      </c>
      <c r="E52" s="209" t="s">
        <v>177</v>
      </c>
      <c r="F52" s="207"/>
      <c r="G52" s="132">
        <f>G53+G54+G55</f>
        <v>14499.6</v>
      </c>
      <c r="H52" s="132">
        <f t="shared" ref="H52:T52" si="14">H53+H54+H55</f>
        <v>150</v>
      </c>
      <c r="I52" s="132">
        <f t="shared" si="14"/>
        <v>0</v>
      </c>
      <c r="J52" s="132">
        <f t="shared" si="14"/>
        <v>300</v>
      </c>
      <c r="K52" s="132">
        <f t="shared" si="14"/>
        <v>0</v>
      </c>
      <c r="L52" s="132">
        <f t="shared" si="14"/>
        <v>0</v>
      </c>
      <c r="M52" s="132">
        <f t="shared" si="14"/>
        <v>127.872</v>
      </c>
      <c r="N52" s="132">
        <f t="shared" si="14"/>
        <v>0</v>
      </c>
      <c r="O52" s="132">
        <f t="shared" si="14"/>
        <v>0</v>
      </c>
      <c r="P52" s="133">
        <f t="shared" si="14"/>
        <v>0</v>
      </c>
      <c r="Q52" s="133">
        <f t="shared" si="14"/>
        <v>322.50299999999999</v>
      </c>
      <c r="R52" s="132">
        <f t="shared" si="14"/>
        <v>0</v>
      </c>
      <c r="S52" s="132">
        <f t="shared" si="14"/>
        <v>1.96</v>
      </c>
      <c r="T52" s="135">
        <f t="shared" si="14"/>
        <v>15270.796059999999</v>
      </c>
    </row>
    <row r="53" spans="1:23" ht="33.75">
      <c r="A53" s="214" t="s">
        <v>178</v>
      </c>
      <c r="B53" s="211" t="s">
        <v>134</v>
      </c>
      <c r="C53" s="211" t="s">
        <v>129</v>
      </c>
      <c r="D53" s="211" t="s">
        <v>173</v>
      </c>
      <c r="E53" s="211" t="s">
        <v>177</v>
      </c>
      <c r="F53" s="212" t="s">
        <v>179</v>
      </c>
      <c r="G53" s="136">
        <v>9823.6</v>
      </c>
      <c r="H53" s="121"/>
      <c r="I53" s="121"/>
      <c r="J53" s="121"/>
      <c r="K53" s="121"/>
      <c r="L53" s="121"/>
      <c r="M53" s="121"/>
      <c r="N53" s="121"/>
      <c r="O53" s="121"/>
      <c r="P53" s="122"/>
      <c r="Q53" s="122">
        <f>-35.497</f>
        <v>-35.497</v>
      </c>
      <c r="R53" s="123"/>
      <c r="S53" s="123"/>
      <c r="T53" s="124">
        <v>9788.1029999999992</v>
      </c>
      <c r="W53" s="8"/>
    </row>
    <row r="54" spans="1:23">
      <c r="A54" s="213" t="s">
        <v>180</v>
      </c>
      <c r="B54" s="211" t="s">
        <v>134</v>
      </c>
      <c r="C54" s="211" t="s">
        <v>129</v>
      </c>
      <c r="D54" s="211" t="s">
        <v>173</v>
      </c>
      <c r="E54" s="211" t="s">
        <v>177</v>
      </c>
      <c r="F54" s="212" t="s">
        <v>181</v>
      </c>
      <c r="G54" s="136">
        <v>4676</v>
      </c>
      <c r="H54" s="121">
        <v>150</v>
      </c>
      <c r="I54" s="121"/>
      <c r="J54" s="121">
        <v>300</v>
      </c>
      <c r="K54" s="121"/>
      <c r="L54" s="121"/>
      <c r="M54" s="121"/>
      <c r="N54" s="121"/>
      <c r="O54" s="121"/>
      <c r="P54" s="122"/>
      <c r="Q54" s="122">
        <v>358</v>
      </c>
      <c r="R54" s="123"/>
      <c r="S54" s="123">
        <v>1.96</v>
      </c>
      <c r="T54" s="124">
        <v>5354.8210600000002</v>
      </c>
      <c r="V54" s="8"/>
    </row>
    <row r="55" spans="1:23">
      <c r="A55" s="217" t="s">
        <v>157</v>
      </c>
      <c r="B55" s="211" t="s">
        <v>134</v>
      </c>
      <c r="C55" s="211" t="s">
        <v>129</v>
      </c>
      <c r="D55" s="211" t="s">
        <v>173</v>
      </c>
      <c r="E55" s="211" t="s">
        <v>177</v>
      </c>
      <c r="F55" s="212" t="s">
        <v>158</v>
      </c>
      <c r="G55" s="136"/>
      <c r="H55" s="121"/>
      <c r="I55" s="121"/>
      <c r="J55" s="121"/>
      <c r="K55" s="121"/>
      <c r="L55" s="121"/>
      <c r="M55" s="121">
        <v>127.872</v>
      </c>
      <c r="N55" s="121"/>
      <c r="O55" s="121"/>
      <c r="P55" s="122"/>
      <c r="Q55" s="122"/>
      <c r="R55" s="123"/>
      <c r="S55" s="123"/>
      <c r="T55" s="124">
        <v>127.872</v>
      </c>
      <c r="V55" s="8"/>
    </row>
    <row r="56" spans="1:23" ht="33" customHeight="1">
      <c r="A56" s="223" t="s">
        <v>559</v>
      </c>
      <c r="B56" s="209" t="s">
        <v>134</v>
      </c>
      <c r="C56" s="209" t="s">
        <v>129</v>
      </c>
      <c r="D56" s="209" t="s">
        <v>173</v>
      </c>
      <c r="E56" s="209" t="s">
        <v>560</v>
      </c>
      <c r="F56" s="212"/>
      <c r="G56" s="136"/>
      <c r="H56" s="121"/>
      <c r="I56" s="121"/>
      <c r="J56" s="121"/>
      <c r="K56" s="121"/>
      <c r="L56" s="121"/>
      <c r="M56" s="121"/>
      <c r="N56" s="121"/>
      <c r="O56" s="121"/>
      <c r="P56" s="126">
        <f>P57</f>
        <v>12225</v>
      </c>
      <c r="Q56" s="126"/>
      <c r="R56" s="127"/>
      <c r="S56" s="127"/>
      <c r="T56" s="128">
        <f>T57</f>
        <v>12225</v>
      </c>
      <c r="V56" s="8"/>
    </row>
    <row r="57" spans="1:23" ht="33.75">
      <c r="A57" s="224" t="s">
        <v>240</v>
      </c>
      <c r="B57" s="211" t="s">
        <v>134</v>
      </c>
      <c r="C57" s="211" t="s">
        <v>129</v>
      </c>
      <c r="D57" s="211" t="s">
        <v>173</v>
      </c>
      <c r="E57" s="211" t="s">
        <v>560</v>
      </c>
      <c r="F57" s="212" t="s">
        <v>241</v>
      </c>
      <c r="G57" s="136"/>
      <c r="H57" s="121"/>
      <c r="I57" s="121"/>
      <c r="J57" s="121"/>
      <c r="K57" s="121"/>
      <c r="L57" s="121"/>
      <c r="M57" s="121"/>
      <c r="N57" s="121"/>
      <c r="O57" s="121"/>
      <c r="P57" s="122">
        <v>12225</v>
      </c>
      <c r="Q57" s="122"/>
      <c r="R57" s="123"/>
      <c r="S57" s="123"/>
      <c r="T57" s="124">
        <v>12225</v>
      </c>
      <c r="V57" s="8"/>
    </row>
    <row r="58" spans="1:23" s="6" customFormat="1" ht="25.5">
      <c r="A58" s="225" t="s">
        <v>561</v>
      </c>
      <c r="B58" s="209" t="s">
        <v>134</v>
      </c>
      <c r="C58" s="209" t="s">
        <v>129</v>
      </c>
      <c r="D58" s="209" t="s">
        <v>173</v>
      </c>
      <c r="E58" s="209" t="s">
        <v>182</v>
      </c>
      <c r="F58" s="207"/>
      <c r="G58" s="132">
        <f>G59+G61+G60</f>
        <v>0</v>
      </c>
      <c r="H58" s="132">
        <f t="shared" ref="H58:R58" si="15">H59+H61+H60</f>
        <v>3528</v>
      </c>
      <c r="I58" s="132">
        <f t="shared" si="15"/>
        <v>0</v>
      </c>
      <c r="J58" s="132">
        <f t="shared" si="15"/>
        <v>0</v>
      </c>
      <c r="K58" s="132">
        <f t="shared" si="15"/>
        <v>0</v>
      </c>
      <c r="L58" s="132">
        <f t="shared" si="15"/>
        <v>0</v>
      </c>
      <c r="M58" s="132">
        <f t="shared" si="15"/>
        <v>0</v>
      </c>
      <c r="N58" s="132">
        <f t="shared" si="15"/>
        <v>0</v>
      </c>
      <c r="O58" s="132">
        <f t="shared" si="15"/>
        <v>0</v>
      </c>
      <c r="P58" s="133">
        <f t="shared" si="15"/>
        <v>0</v>
      </c>
      <c r="Q58" s="133">
        <f t="shared" si="15"/>
        <v>0</v>
      </c>
      <c r="R58" s="132">
        <f t="shared" si="15"/>
        <v>0</v>
      </c>
      <c r="S58" s="132">
        <f>S59+S61+S60+S62</f>
        <v>6.7501559897209518E-14</v>
      </c>
      <c r="T58" s="133">
        <f>T59+T61+T60+T62</f>
        <v>3513.317</v>
      </c>
    </row>
    <row r="59" spans="1:23">
      <c r="A59" s="214" t="s">
        <v>151</v>
      </c>
      <c r="B59" s="211" t="s">
        <v>134</v>
      </c>
      <c r="C59" s="211" t="s">
        <v>129</v>
      </c>
      <c r="D59" s="211" t="s">
        <v>173</v>
      </c>
      <c r="E59" s="211" t="s">
        <v>182</v>
      </c>
      <c r="F59" s="212" t="s">
        <v>152</v>
      </c>
      <c r="G59" s="136"/>
      <c r="H59" s="121">
        <v>3528</v>
      </c>
      <c r="I59" s="121"/>
      <c r="J59" s="121"/>
      <c r="K59" s="121"/>
      <c r="L59" s="121"/>
      <c r="M59" s="121">
        <f>-7.35</f>
        <v>-7.35</v>
      </c>
      <c r="N59" s="121"/>
      <c r="O59" s="121">
        <v>-0.7</v>
      </c>
      <c r="P59" s="122"/>
      <c r="Q59" s="122">
        <f>-180-14.7</f>
        <v>-194.7</v>
      </c>
      <c r="R59" s="123"/>
      <c r="S59" s="123">
        <f>-817.77634-138.47366</f>
        <v>-956.25</v>
      </c>
      <c r="T59" s="124">
        <v>2354.317</v>
      </c>
    </row>
    <row r="60" spans="1:23" ht="22.5">
      <c r="A60" s="214" t="s">
        <v>149</v>
      </c>
      <c r="B60" s="211" t="s">
        <v>134</v>
      </c>
      <c r="C60" s="211" t="s">
        <v>129</v>
      </c>
      <c r="D60" s="211" t="s">
        <v>173</v>
      </c>
      <c r="E60" s="211" t="s">
        <v>182</v>
      </c>
      <c r="F60" s="212" t="s">
        <v>150</v>
      </c>
      <c r="G60" s="136"/>
      <c r="H60" s="121"/>
      <c r="I60" s="121"/>
      <c r="J60" s="121"/>
      <c r="K60" s="121"/>
      <c r="L60" s="121"/>
      <c r="M60" s="121"/>
      <c r="N60" s="121"/>
      <c r="O60" s="121"/>
      <c r="P60" s="122"/>
      <c r="Q60" s="122">
        <v>180</v>
      </c>
      <c r="R60" s="123"/>
      <c r="S60" s="123">
        <f>817.77634+139.17366</f>
        <v>956.95</v>
      </c>
      <c r="T60" s="124">
        <v>1136.95</v>
      </c>
    </row>
    <row r="61" spans="1:23">
      <c r="A61" s="214" t="s">
        <v>142</v>
      </c>
      <c r="B61" s="211" t="s">
        <v>134</v>
      </c>
      <c r="C61" s="211" t="s">
        <v>129</v>
      </c>
      <c r="D61" s="211" t="s">
        <v>173</v>
      </c>
      <c r="E61" s="211" t="s">
        <v>182</v>
      </c>
      <c r="F61" s="212" t="s">
        <v>143</v>
      </c>
      <c r="G61" s="136"/>
      <c r="H61" s="121"/>
      <c r="I61" s="121"/>
      <c r="J61" s="121"/>
      <c r="K61" s="121"/>
      <c r="L61" s="121"/>
      <c r="M61" s="121">
        <v>7.35</v>
      </c>
      <c r="N61" s="121"/>
      <c r="O61" s="121">
        <v>0.7</v>
      </c>
      <c r="P61" s="122"/>
      <c r="Q61" s="122">
        <v>14.7</v>
      </c>
      <c r="R61" s="123"/>
      <c r="S61" s="123">
        <f>-7.35-0.7-7.35</f>
        <v>-15.399999999999999</v>
      </c>
      <c r="T61" s="124">
        <v>7.35</v>
      </c>
    </row>
    <row r="62" spans="1:23">
      <c r="A62" s="214" t="s">
        <v>142</v>
      </c>
      <c r="B62" s="211" t="s">
        <v>134</v>
      </c>
      <c r="C62" s="211" t="s">
        <v>129</v>
      </c>
      <c r="D62" s="211" t="s">
        <v>173</v>
      </c>
      <c r="E62" s="211" t="s">
        <v>182</v>
      </c>
      <c r="F62" s="212" t="s">
        <v>235</v>
      </c>
      <c r="G62" s="136"/>
      <c r="H62" s="121"/>
      <c r="I62" s="121"/>
      <c r="J62" s="121"/>
      <c r="K62" s="121"/>
      <c r="L62" s="121"/>
      <c r="M62" s="121"/>
      <c r="N62" s="121"/>
      <c r="O62" s="121"/>
      <c r="P62" s="122"/>
      <c r="Q62" s="122"/>
      <c r="R62" s="123"/>
      <c r="S62" s="123">
        <f>7.35+7.35</f>
        <v>14.7</v>
      </c>
      <c r="T62" s="124">
        <v>14.7</v>
      </c>
    </row>
    <row r="63" spans="1:23" s="7" customFormat="1" ht="33.75">
      <c r="A63" s="208" t="s">
        <v>183</v>
      </c>
      <c r="B63" s="209" t="s">
        <v>134</v>
      </c>
      <c r="C63" s="209" t="s">
        <v>129</v>
      </c>
      <c r="D63" s="209" t="s">
        <v>173</v>
      </c>
      <c r="E63" s="209" t="s">
        <v>184</v>
      </c>
      <c r="F63" s="207"/>
      <c r="G63" s="113">
        <f t="shared" ref="G63:T63" si="16">G67+G64+G65+G66</f>
        <v>939.40000000000009</v>
      </c>
      <c r="H63" s="113">
        <f t="shared" si="16"/>
        <v>0</v>
      </c>
      <c r="I63" s="113">
        <f t="shared" si="16"/>
        <v>0</v>
      </c>
      <c r="J63" s="113">
        <f t="shared" si="16"/>
        <v>0</v>
      </c>
      <c r="K63" s="113">
        <f t="shared" si="16"/>
        <v>0</v>
      </c>
      <c r="L63" s="113">
        <f t="shared" si="16"/>
        <v>0</v>
      </c>
      <c r="M63" s="113">
        <f t="shared" si="16"/>
        <v>0</v>
      </c>
      <c r="N63" s="113">
        <f t="shared" si="16"/>
        <v>0</v>
      </c>
      <c r="O63" s="113">
        <f t="shared" si="16"/>
        <v>0</v>
      </c>
      <c r="P63" s="114">
        <f t="shared" si="16"/>
        <v>0</v>
      </c>
      <c r="Q63" s="114">
        <f t="shared" si="16"/>
        <v>0</v>
      </c>
      <c r="R63" s="115"/>
      <c r="S63" s="115">
        <f>S64+S65+S66+S67</f>
        <v>0</v>
      </c>
      <c r="T63" s="116">
        <f t="shared" si="16"/>
        <v>958.07799999999997</v>
      </c>
    </row>
    <row r="64" spans="1:23">
      <c r="A64" s="213" t="s">
        <v>139</v>
      </c>
      <c r="B64" s="211" t="s">
        <v>134</v>
      </c>
      <c r="C64" s="211" t="s">
        <v>129</v>
      </c>
      <c r="D64" s="211" t="s">
        <v>173</v>
      </c>
      <c r="E64" s="211" t="s">
        <v>184</v>
      </c>
      <c r="F64" s="212" t="s">
        <v>185</v>
      </c>
      <c r="G64" s="117">
        <f>539.243+162.851</f>
        <v>702.09400000000005</v>
      </c>
      <c r="H64" s="121"/>
      <c r="I64" s="121">
        <v>-702.09400000000005</v>
      </c>
      <c r="J64" s="121"/>
      <c r="K64" s="121"/>
      <c r="L64" s="121"/>
      <c r="M64" s="121"/>
      <c r="N64" s="121"/>
      <c r="O64" s="121"/>
      <c r="P64" s="122"/>
      <c r="Q64" s="122"/>
      <c r="R64" s="123"/>
      <c r="S64" s="123"/>
      <c r="T64" s="124">
        <f>G64+H64+I64</f>
        <v>0</v>
      </c>
    </row>
    <row r="65" spans="1:20">
      <c r="A65" s="213" t="s">
        <v>139</v>
      </c>
      <c r="B65" s="211" t="s">
        <v>134</v>
      </c>
      <c r="C65" s="211" t="s">
        <v>129</v>
      </c>
      <c r="D65" s="211" t="s">
        <v>173</v>
      </c>
      <c r="E65" s="211" t="s">
        <v>184</v>
      </c>
      <c r="F65" s="212" t="s">
        <v>141</v>
      </c>
      <c r="G65" s="117"/>
      <c r="H65" s="121"/>
      <c r="I65" s="121">
        <v>702.09400000000005</v>
      </c>
      <c r="J65" s="121"/>
      <c r="K65" s="121"/>
      <c r="L65" s="121"/>
      <c r="M65" s="121"/>
      <c r="N65" s="121"/>
      <c r="O65" s="121"/>
      <c r="P65" s="122"/>
      <c r="Q65" s="122"/>
      <c r="R65" s="123"/>
      <c r="S65" s="123">
        <v>47.573419999999999</v>
      </c>
      <c r="T65" s="124">
        <v>768.34541999999999</v>
      </c>
    </row>
    <row r="66" spans="1:20" ht="22.5">
      <c r="A66" s="214" t="s">
        <v>149</v>
      </c>
      <c r="B66" s="211" t="s">
        <v>134</v>
      </c>
      <c r="C66" s="211" t="s">
        <v>129</v>
      </c>
      <c r="D66" s="211" t="s">
        <v>173</v>
      </c>
      <c r="E66" s="211" t="s">
        <v>184</v>
      </c>
      <c r="F66" s="212" t="s">
        <v>150</v>
      </c>
      <c r="G66" s="117"/>
      <c r="H66" s="121"/>
      <c r="I66" s="121">
        <v>25</v>
      </c>
      <c r="J66" s="121"/>
      <c r="K66" s="121"/>
      <c r="L66" s="121"/>
      <c r="M66" s="121"/>
      <c r="N66" s="121"/>
      <c r="O66" s="121"/>
      <c r="P66" s="122"/>
      <c r="Q66" s="122"/>
      <c r="R66" s="123"/>
      <c r="S66" s="123">
        <v>-0.95</v>
      </c>
      <c r="T66" s="124">
        <f>G66+H66+I66+S66</f>
        <v>24.05</v>
      </c>
    </row>
    <row r="67" spans="1:20">
      <c r="A67" s="214" t="s">
        <v>151</v>
      </c>
      <c r="B67" s="211" t="s">
        <v>134</v>
      </c>
      <c r="C67" s="211" t="s">
        <v>129</v>
      </c>
      <c r="D67" s="211" t="s">
        <v>173</v>
      </c>
      <c r="E67" s="211" t="s">
        <v>184</v>
      </c>
      <c r="F67" s="212" t="s">
        <v>152</v>
      </c>
      <c r="G67" s="117">
        <v>237.30600000000001</v>
      </c>
      <c r="H67" s="121"/>
      <c r="I67" s="121">
        <v>-25</v>
      </c>
      <c r="J67" s="121"/>
      <c r="K67" s="121"/>
      <c r="L67" s="121"/>
      <c r="M67" s="121"/>
      <c r="N67" s="121"/>
      <c r="O67" s="121"/>
      <c r="P67" s="122"/>
      <c r="Q67" s="122"/>
      <c r="R67" s="123"/>
      <c r="S67" s="123">
        <v>-46.623420000000003</v>
      </c>
      <c r="T67" s="124">
        <f>G67+H67+I67+S67</f>
        <v>165.68258</v>
      </c>
    </row>
    <row r="68" spans="1:20" s="7" customFormat="1" ht="45">
      <c r="A68" s="208" t="s">
        <v>186</v>
      </c>
      <c r="B68" s="209" t="s">
        <v>134</v>
      </c>
      <c r="C68" s="209" t="s">
        <v>129</v>
      </c>
      <c r="D68" s="209" t="s">
        <v>173</v>
      </c>
      <c r="E68" s="209" t="s">
        <v>187</v>
      </c>
      <c r="F68" s="207"/>
      <c r="G68" s="113">
        <f t="shared" ref="G68:T68" si="17">G69</f>
        <v>11.9</v>
      </c>
      <c r="H68" s="113">
        <f t="shared" si="17"/>
        <v>0</v>
      </c>
      <c r="I68" s="113">
        <f t="shared" si="17"/>
        <v>0</v>
      </c>
      <c r="J68" s="113">
        <f t="shared" si="17"/>
        <v>0</v>
      </c>
      <c r="K68" s="113">
        <f t="shared" si="17"/>
        <v>0</v>
      </c>
      <c r="L68" s="113">
        <f t="shared" si="17"/>
        <v>0</v>
      </c>
      <c r="M68" s="113">
        <f t="shared" si="17"/>
        <v>0</v>
      </c>
      <c r="N68" s="113">
        <f t="shared" si="17"/>
        <v>0</v>
      </c>
      <c r="O68" s="113">
        <f t="shared" si="17"/>
        <v>0</v>
      </c>
      <c r="P68" s="114">
        <f t="shared" si="17"/>
        <v>0</v>
      </c>
      <c r="Q68" s="114">
        <f t="shared" si="17"/>
        <v>0</v>
      </c>
      <c r="R68" s="115"/>
      <c r="S68" s="115"/>
      <c r="T68" s="116">
        <f t="shared" si="17"/>
        <v>11.9</v>
      </c>
    </row>
    <row r="69" spans="1:20">
      <c r="A69" s="214" t="s">
        <v>151</v>
      </c>
      <c r="B69" s="211" t="s">
        <v>134</v>
      </c>
      <c r="C69" s="211" t="s">
        <v>129</v>
      </c>
      <c r="D69" s="211" t="s">
        <v>173</v>
      </c>
      <c r="E69" s="211" t="s">
        <v>187</v>
      </c>
      <c r="F69" s="212" t="s">
        <v>152</v>
      </c>
      <c r="G69" s="117">
        <v>11.9</v>
      </c>
      <c r="H69" s="121"/>
      <c r="I69" s="121"/>
      <c r="J69" s="121"/>
      <c r="K69" s="121"/>
      <c r="L69" s="121"/>
      <c r="M69" s="121"/>
      <c r="N69" s="121"/>
      <c r="O69" s="121"/>
      <c r="P69" s="122"/>
      <c r="Q69" s="122"/>
      <c r="R69" s="123"/>
      <c r="S69" s="123"/>
      <c r="T69" s="124">
        <v>11.9</v>
      </c>
    </row>
    <row r="70" spans="1:20" s="6" customFormat="1" ht="22.5">
      <c r="A70" s="226" t="s">
        <v>562</v>
      </c>
      <c r="B70" s="209" t="s">
        <v>134</v>
      </c>
      <c r="C70" s="209" t="s">
        <v>129</v>
      </c>
      <c r="D70" s="209" t="s">
        <v>173</v>
      </c>
      <c r="E70" s="209" t="s">
        <v>563</v>
      </c>
      <c r="F70" s="207"/>
      <c r="G70" s="113"/>
      <c r="H70" s="125"/>
      <c r="I70" s="125"/>
      <c r="J70" s="125"/>
      <c r="K70" s="125"/>
      <c r="L70" s="125">
        <f t="shared" ref="L70:Q70" si="18">L71</f>
        <v>1000</v>
      </c>
      <c r="M70" s="125">
        <f t="shared" si="18"/>
        <v>0</v>
      </c>
      <c r="N70" s="125">
        <f t="shared" si="18"/>
        <v>0</v>
      </c>
      <c r="O70" s="125">
        <f t="shared" si="18"/>
        <v>0</v>
      </c>
      <c r="P70" s="126">
        <f t="shared" si="18"/>
        <v>-1000</v>
      </c>
      <c r="Q70" s="126">
        <f t="shared" si="18"/>
        <v>0</v>
      </c>
      <c r="R70" s="127"/>
      <c r="S70" s="127"/>
      <c r="T70" s="128">
        <f>T71</f>
        <v>0</v>
      </c>
    </row>
    <row r="71" spans="1:20" ht="22.5">
      <c r="A71" s="227" t="s">
        <v>564</v>
      </c>
      <c r="B71" s="211" t="s">
        <v>134</v>
      </c>
      <c r="C71" s="211" t="s">
        <v>129</v>
      </c>
      <c r="D71" s="211" t="s">
        <v>173</v>
      </c>
      <c r="E71" s="211" t="s">
        <v>563</v>
      </c>
      <c r="F71" s="212" t="s">
        <v>565</v>
      </c>
      <c r="G71" s="117"/>
      <c r="H71" s="121"/>
      <c r="I71" s="121"/>
      <c r="J71" s="121"/>
      <c r="K71" s="121"/>
      <c r="L71" s="121">
        <v>1000</v>
      </c>
      <c r="M71" s="121"/>
      <c r="N71" s="121">
        <f>-1000+1000</f>
        <v>0</v>
      </c>
      <c r="O71" s="121"/>
      <c r="P71" s="122">
        <v>-1000</v>
      </c>
      <c r="Q71" s="122"/>
      <c r="R71" s="123"/>
      <c r="S71" s="123"/>
      <c r="T71" s="124">
        <f>L71+P71+Q71</f>
        <v>0</v>
      </c>
    </row>
    <row r="72" spans="1:20" s="7" customFormat="1" ht="33.75">
      <c r="A72" s="208" t="s">
        <v>188</v>
      </c>
      <c r="B72" s="209" t="s">
        <v>134</v>
      </c>
      <c r="C72" s="209" t="s">
        <v>129</v>
      </c>
      <c r="D72" s="209" t="s">
        <v>173</v>
      </c>
      <c r="E72" s="209" t="s">
        <v>189</v>
      </c>
      <c r="F72" s="207"/>
      <c r="G72" s="113">
        <f t="shared" ref="G72:T72" si="19">G76+G73+G74+G75</f>
        <v>2479.1</v>
      </c>
      <c r="H72" s="113">
        <f t="shared" si="19"/>
        <v>0</v>
      </c>
      <c r="I72" s="113">
        <f t="shared" si="19"/>
        <v>0</v>
      </c>
      <c r="J72" s="113">
        <f t="shared" si="19"/>
        <v>0</v>
      </c>
      <c r="K72" s="113">
        <f t="shared" si="19"/>
        <v>0</v>
      </c>
      <c r="L72" s="113">
        <f t="shared" si="19"/>
        <v>0</v>
      </c>
      <c r="M72" s="113">
        <f t="shared" si="19"/>
        <v>0</v>
      </c>
      <c r="N72" s="113">
        <f t="shared" si="19"/>
        <v>0</v>
      </c>
      <c r="O72" s="113">
        <f t="shared" si="19"/>
        <v>0</v>
      </c>
      <c r="P72" s="114">
        <f t="shared" si="19"/>
        <v>0</v>
      </c>
      <c r="Q72" s="114">
        <f t="shared" si="19"/>
        <v>0</v>
      </c>
      <c r="R72" s="115"/>
      <c r="S72" s="115">
        <f>S73+S74+S75+S76</f>
        <v>0</v>
      </c>
      <c r="T72" s="116">
        <f t="shared" si="19"/>
        <v>2479.1000000000004</v>
      </c>
    </row>
    <row r="73" spans="1:20">
      <c r="A73" s="213" t="s">
        <v>139</v>
      </c>
      <c r="B73" s="211" t="s">
        <v>134</v>
      </c>
      <c r="C73" s="211" t="s">
        <v>129</v>
      </c>
      <c r="D73" s="211" t="s">
        <v>173</v>
      </c>
      <c r="E73" s="211" t="s">
        <v>189</v>
      </c>
      <c r="F73" s="212" t="s">
        <v>141</v>
      </c>
      <c r="G73" s="117">
        <f>1353+377</f>
        <v>1730</v>
      </c>
      <c r="H73" s="121"/>
      <c r="I73" s="121"/>
      <c r="J73" s="121"/>
      <c r="K73" s="121"/>
      <c r="L73" s="121"/>
      <c r="M73" s="121"/>
      <c r="N73" s="121"/>
      <c r="O73" s="121"/>
      <c r="P73" s="122"/>
      <c r="Q73" s="122"/>
      <c r="R73" s="123"/>
      <c r="S73" s="123">
        <v>317.77014000000003</v>
      </c>
      <c r="T73" s="124">
        <v>2047.7701400000001</v>
      </c>
    </row>
    <row r="74" spans="1:20">
      <c r="A74" s="214" t="s">
        <v>142</v>
      </c>
      <c r="B74" s="211" t="s">
        <v>134</v>
      </c>
      <c r="C74" s="211" t="s">
        <v>129</v>
      </c>
      <c r="D74" s="211" t="s">
        <v>173</v>
      </c>
      <c r="E74" s="211" t="s">
        <v>189</v>
      </c>
      <c r="F74" s="212" t="s">
        <v>143</v>
      </c>
      <c r="G74" s="117">
        <v>273.5</v>
      </c>
      <c r="H74" s="121"/>
      <c r="I74" s="121"/>
      <c r="J74" s="121"/>
      <c r="K74" s="121"/>
      <c r="L74" s="121"/>
      <c r="M74" s="121"/>
      <c r="N74" s="121"/>
      <c r="O74" s="121"/>
      <c r="P74" s="122"/>
      <c r="Q74" s="122"/>
      <c r="R74" s="123"/>
      <c r="S74" s="123">
        <v>-120.93340000000001</v>
      </c>
      <c r="T74" s="124">
        <v>152.56659999999999</v>
      </c>
    </row>
    <row r="75" spans="1:20" ht="22.5">
      <c r="A75" s="214" t="s">
        <v>149</v>
      </c>
      <c r="B75" s="211" t="s">
        <v>134</v>
      </c>
      <c r="C75" s="211" t="s">
        <v>129</v>
      </c>
      <c r="D75" s="211" t="s">
        <v>173</v>
      </c>
      <c r="E75" s="211" t="s">
        <v>189</v>
      </c>
      <c r="F75" s="212" t="s">
        <v>150</v>
      </c>
      <c r="G75" s="117"/>
      <c r="H75" s="121"/>
      <c r="I75" s="121">
        <v>60</v>
      </c>
      <c r="J75" s="121"/>
      <c r="K75" s="121"/>
      <c r="L75" s="121"/>
      <c r="M75" s="121"/>
      <c r="N75" s="121"/>
      <c r="O75" s="121"/>
      <c r="P75" s="122"/>
      <c r="Q75" s="122"/>
      <c r="R75" s="123"/>
      <c r="S75" s="123"/>
      <c r="T75" s="124">
        <v>60</v>
      </c>
    </row>
    <row r="76" spans="1:20">
      <c r="A76" s="214" t="s">
        <v>151</v>
      </c>
      <c r="B76" s="211" t="s">
        <v>134</v>
      </c>
      <c r="C76" s="211" t="s">
        <v>129</v>
      </c>
      <c r="D76" s="211" t="s">
        <v>173</v>
      </c>
      <c r="E76" s="211" t="s">
        <v>189</v>
      </c>
      <c r="F76" s="212" t="s">
        <v>152</v>
      </c>
      <c r="G76" s="117">
        <v>475.6</v>
      </c>
      <c r="H76" s="121"/>
      <c r="I76" s="121">
        <v>-60</v>
      </c>
      <c r="J76" s="121"/>
      <c r="K76" s="121"/>
      <c r="L76" s="121"/>
      <c r="M76" s="121"/>
      <c r="N76" s="121"/>
      <c r="O76" s="121"/>
      <c r="P76" s="122"/>
      <c r="Q76" s="122"/>
      <c r="R76" s="123"/>
      <c r="S76" s="123">
        <v>-196.83673999999999</v>
      </c>
      <c r="T76" s="124">
        <v>218.76326</v>
      </c>
    </row>
    <row r="77" spans="1:20" s="6" customFormat="1">
      <c r="A77" s="216" t="s">
        <v>190</v>
      </c>
      <c r="B77" s="209" t="s">
        <v>134</v>
      </c>
      <c r="C77" s="209" t="s">
        <v>129</v>
      </c>
      <c r="D77" s="209" t="s">
        <v>173</v>
      </c>
      <c r="E77" s="209" t="s">
        <v>191</v>
      </c>
      <c r="F77" s="207"/>
      <c r="G77" s="113">
        <f>G78+G79+G80+G82+G83</f>
        <v>2400</v>
      </c>
      <c r="H77" s="113">
        <f t="shared" ref="H77:R77" si="20">H78+H79+H80+H82+H83</f>
        <v>461</v>
      </c>
      <c r="I77" s="113">
        <f t="shared" si="20"/>
        <v>0</v>
      </c>
      <c r="J77" s="113">
        <f t="shared" si="20"/>
        <v>600</v>
      </c>
      <c r="K77" s="113">
        <f t="shared" si="20"/>
        <v>0</v>
      </c>
      <c r="L77" s="113">
        <f t="shared" si="20"/>
        <v>0</v>
      </c>
      <c r="M77" s="113">
        <f t="shared" si="20"/>
        <v>0</v>
      </c>
      <c r="N77" s="113">
        <f t="shared" si="20"/>
        <v>0</v>
      </c>
      <c r="O77" s="113">
        <f t="shared" si="20"/>
        <v>-1600</v>
      </c>
      <c r="P77" s="114">
        <f t="shared" si="20"/>
        <v>0</v>
      </c>
      <c r="Q77" s="114">
        <f t="shared" si="20"/>
        <v>0</v>
      </c>
      <c r="R77" s="113">
        <f t="shared" si="20"/>
        <v>0</v>
      </c>
      <c r="S77" s="113">
        <f>S78+S79+S80+S82+S83+S81</f>
        <v>0</v>
      </c>
      <c r="T77" s="116">
        <f>T78+T79+T80+T81+T82+T83</f>
        <v>1635.0778399999999</v>
      </c>
    </row>
    <row r="78" spans="1:20">
      <c r="A78" s="214" t="s">
        <v>151</v>
      </c>
      <c r="B78" s="211" t="s">
        <v>134</v>
      </c>
      <c r="C78" s="211" t="s">
        <v>129</v>
      </c>
      <c r="D78" s="211" t="s">
        <v>173</v>
      </c>
      <c r="E78" s="211" t="s">
        <v>191</v>
      </c>
      <c r="F78" s="212" t="s">
        <v>152</v>
      </c>
      <c r="G78" s="117">
        <v>2400</v>
      </c>
      <c r="H78" s="121">
        <f>65+396</f>
        <v>461</v>
      </c>
      <c r="I78" s="121"/>
      <c r="J78" s="121">
        <v>600</v>
      </c>
      <c r="K78" s="121">
        <v>-396</v>
      </c>
      <c r="L78" s="121"/>
      <c r="M78" s="121"/>
      <c r="N78" s="121"/>
      <c r="O78" s="121">
        <f>-3065</f>
        <v>-3065</v>
      </c>
      <c r="P78" s="122"/>
      <c r="Q78" s="122"/>
      <c r="R78" s="123"/>
      <c r="S78" s="123"/>
      <c r="T78" s="124">
        <f>G78+H78+I78+J78+K78+O78</f>
        <v>0</v>
      </c>
    </row>
    <row r="79" spans="1:20">
      <c r="A79" s="213" t="s">
        <v>180</v>
      </c>
      <c r="B79" s="211" t="s">
        <v>134</v>
      </c>
      <c r="C79" s="211" t="s">
        <v>129</v>
      </c>
      <c r="D79" s="211" t="s">
        <v>173</v>
      </c>
      <c r="E79" s="211" t="s">
        <v>191</v>
      </c>
      <c r="F79" s="212" t="s">
        <v>181</v>
      </c>
      <c r="G79" s="117"/>
      <c r="H79" s="121"/>
      <c r="I79" s="121"/>
      <c r="J79" s="121"/>
      <c r="K79" s="121">
        <v>396</v>
      </c>
      <c r="L79" s="121"/>
      <c r="M79" s="121"/>
      <c r="N79" s="121"/>
      <c r="O79" s="121">
        <v>-396</v>
      </c>
      <c r="P79" s="122"/>
      <c r="Q79" s="122"/>
      <c r="R79" s="123"/>
      <c r="S79" s="123"/>
      <c r="T79" s="124">
        <f>G79+H79+I79+J79+K79+O79</f>
        <v>0</v>
      </c>
    </row>
    <row r="80" spans="1:20">
      <c r="A80" s="214" t="s">
        <v>151</v>
      </c>
      <c r="B80" s="211" t="s">
        <v>134</v>
      </c>
      <c r="C80" s="211" t="s">
        <v>129</v>
      </c>
      <c r="D80" s="211" t="s">
        <v>173</v>
      </c>
      <c r="E80" s="211" t="s">
        <v>566</v>
      </c>
      <c r="F80" s="212" t="s">
        <v>152</v>
      </c>
      <c r="G80" s="117"/>
      <c r="H80" s="121"/>
      <c r="I80" s="121"/>
      <c r="J80" s="121"/>
      <c r="K80" s="121"/>
      <c r="L80" s="121"/>
      <c r="M80" s="121"/>
      <c r="N80" s="121"/>
      <c r="O80" s="121">
        <f>2000-1000</f>
        <v>1000</v>
      </c>
      <c r="P80" s="122"/>
      <c r="Q80" s="122"/>
      <c r="R80" s="123"/>
      <c r="S80" s="123">
        <v>-210.82434000000001</v>
      </c>
      <c r="T80" s="124">
        <v>706.92</v>
      </c>
    </row>
    <row r="81" spans="1:20" ht="22.5">
      <c r="A81" s="214" t="s">
        <v>149</v>
      </c>
      <c r="B81" s="211" t="s">
        <v>134</v>
      </c>
      <c r="C81" s="211" t="s">
        <v>129</v>
      </c>
      <c r="D81" s="211" t="s">
        <v>173</v>
      </c>
      <c r="E81" s="211" t="s">
        <v>566</v>
      </c>
      <c r="F81" s="212" t="s">
        <v>150</v>
      </c>
      <c r="G81" s="117"/>
      <c r="H81" s="121"/>
      <c r="I81" s="121"/>
      <c r="J81" s="121"/>
      <c r="K81" s="121"/>
      <c r="L81" s="121"/>
      <c r="M81" s="121"/>
      <c r="N81" s="121"/>
      <c r="O81" s="121"/>
      <c r="P81" s="122"/>
      <c r="Q81" s="122"/>
      <c r="R81" s="123"/>
      <c r="S81" s="123">
        <v>210.82434000000001</v>
      </c>
      <c r="T81" s="124">
        <v>210.82284000000001</v>
      </c>
    </row>
    <row r="82" spans="1:20">
      <c r="A82" s="214" t="s">
        <v>151</v>
      </c>
      <c r="B82" s="211" t="s">
        <v>134</v>
      </c>
      <c r="C82" s="211" t="s">
        <v>129</v>
      </c>
      <c r="D82" s="211" t="s">
        <v>173</v>
      </c>
      <c r="E82" s="211" t="s">
        <v>448</v>
      </c>
      <c r="F82" s="212" t="s">
        <v>152</v>
      </c>
      <c r="G82" s="117"/>
      <c r="H82" s="121"/>
      <c r="I82" s="121"/>
      <c r="J82" s="121"/>
      <c r="K82" s="121"/>
      <c r="L82" s="121"/>
      <c r="M82" s="121"/>
      <c r="N82" s="121"/>
      <c r="O82" s="121">
        <f>1065-350-600</f>
        <v>115</v>
      </c>
      <c r="P82" s="122"/>
      <c r="Q82" s="122"/>
      <c r="R82" s="123"/>
      <c r="S82" s="123"/>
      <c r="T82" s="164">
        <v>0</v>
      </c>
    </row>
    <row r="83" spans="1:20">
      <c r="A83" s="213" t="s">
        <v>180</v>
      </c>
      <c r="B83" s="211" t="s">
        <v>134</v>
      </c>
      <c r="C83" s="211" t="s">
        <v>129</v>
      </c>
      <c r="D83" s="211" t="s">
        <v>173</v>
      </c>
      <c r="E83" s="211" t="s">
        <v>448</v>
      </c>
      <c r="F83" s="212" t="s">
        <v>181</v>
      </c>
      <c r="G83" s="117"/>
      <c r="H83" s="121"/>
      <c r="I83" s="121"/>
      <c r="J83" s="121"/>
      <c r="K83" s="121"/>
      <c r="L83" s="121"/>
      <c r="M83" s="121"/>
      <c r="N83" s="121"/>
      <c r="O83" s="121">
        <f>396+350</f>
        <v>746</v>
      </c>
      <c r="P83" s="122"/>
      <c r="Q83" s="122"/>
      <c r="R83" s="123"/>
      <c r="S83" s="123"/>
      <c r="T83" s="124">
        <v>717.33500000000004</v>
      </c>
    </row>
    <row r="84" spans="1:20" s="6" customFormat="1" ht="39.75" customHeight="1">
      <c r="A84" s="228" t="s">
        <v>567</v>
      </c>
      <c r="B84" s="209" t="s">
        <v>134</v>
      </c>
      <c r="C84" s="209" t="s">
        <v>129</v>
      </c>
      <c r="D84" s="209" t="s">
        <v>173</v>
      </c>
      <c r="E84" s="209" t="s">
        <v>449</v>
      </c>
      <c r="F84" s="207"/>
      <c r="G84" s="113"/>
      <c r="H84" s="125"/>
      <c r="I84" s="125"/>
      <c r="J84" s="125"/>
      <c r="K84" s="125"/>
      <c r="L84" s="125"/>
      <c r="M84" s="125"/>
      <c r="N84" s="125">
        <f>N85</f>
        <v>245</v>
      </c>
      <c r="O84" s="125">
        <f>O85</f>
        <v>0</v>
      </c>
      <c r="P84" s="126">
        <f>P85</f>
        <v>0</v>
      </c>
      <c r="Q84" s="126">
        <f>Q85</f>
        <v>0</v>
      </c>
      <c r="R84" s="127"/>
      <c r="S84" s="127"/>
      <c r="T84" s="128">
        <f>T85</f>
        <v>245</v>
      </c>
    </row>
    <row r="85" spans="1:20" ht="41.25" customHeight="1">
      <c r="A85" s="214" t="s">
        <v>255</v>
      </c>
      <c r="B85" s="211" t="s">
        <v>134</v>
      </c>
      <c r="C85" s="211" t="s">
        <v>129</v>
      </c>
      <c r="D85" s="211" t="s">
        <v>173</v>
      </c>
      <c r="E85" s="211" t="s">
        <v>449</v>
      </c>
      <c r="F85" s="212" t="s">
        <v>256</v>
      </c>
      <c r="G85" s="117"/>
      <c r="H85" s="121"/>
      <c r="I85" s="121"/>
      <c r="J85" s="121"/>
      <c r="K85" s="121"/>
      <c r="L85" s="121"/>
      <c r="M85" s="121"/>
      <c r="N85" s="121">
        <v>245</v>
      </c>
      <c r="O85" s="121"/>
      <c r="P85" s="122"/>
      <c r="Q85" s="122"/>
      <c r="R85" s="123"/>
      <c r="S85" s="123"/>
      <c r="T85" s="124">
        <v>245</v>
      </c>
    </row>
    <row r="86" spans="1:20" ht="28.5" customHeight="1">
      <c r="A86" s="218" t="s">
        <v>555</v>
      </c>
      <c r="B86" s="209" t="s">
        <v>134</v>
      </c>
      <c r="C86" s="209" t="s">
        <v>129</v>
      </c>
      <c r="D86" s="209" t="s">
        <v>173</v>
      </c>
      <c r="E86" s="209" t="s">
        <v>549</v>
      </c>
      <c r="F86" s="212"/>
      <c r="G86" s="117"/>
      <c r="H86" s="121"/>
      <c r="I86" s="121"/>
      <c r="J86" s="121"/>
      <c r="K86" s="121"/>
      <c r="L86" s="121"/>
      <c r="M86" s="121"/>
      <c r="N86" s="121"/>
      <c r="O86" s="121"/>
      <c r="P86" s="126">
        <f>P87</f>
        <v>35.497</v>
      </c>
      <c r="Q86" s="126">
        <f>Q87</f>
        <v>0</v>
      </c>
      <c r="R86" s="125"/>
      <c r="S86" s="125"/>
      <c r="T86" s="126">
        <f>T87</f>
        <v>35.497</v>
      </c>
    </row>
    <row r="87" spans="1:20" ht="41.25" customHeight="1">
      <c r="A87" s="229" t="s">
        <v>269</v>
      </c>
      <c r="B87" s="211" t="s">
        <v>134</v>
      </c>
      <c r="C87" s="211" t="s">
        <v>129</v>
      </c>
      <c r="D87" s="211" t="s">
        <v>173</v>
      </c>
      <c r="E87" s="211" t="s">
        <v>549</v>
      </c>
      <c r="F87" s="212" t="s">
        <v>179</v>
      </c>
      <c r="G87" s="117"/>
      <c r="H87" s="121"/>
      <c r="I87" s="121"/>
      <c r="J87" s="121"/>
      <c r="K87" s="121"/>
      <c r="L87" s="121"/>
      <c r="M87" s="121"/>
      <c r="N87" s="121"/>
      <c r="O87" s="121"/>
      <c r="P87" s="122">
        <v>35.497</v>
      </c>
      <c r="Q87" s="122"/>
      <c r="R87" s="123"/>
      <c r="S87" s="123"/>
      <c r="T87" s="124">
        <v>35.497</v>
      </c>
    </row>
    <row r="88" spans="1:20" s="6" customFormat="1" ht="54.75" customHeight="1">
      <c r="A88" s="215" t="s">
        <v>553</v>
      </c>
      <c r="B88" s="209" t="s">
        <v>134</v>
      </c>
      <c r="C88" s="209" t="s">
        <v>129</v>
      </c>
      <c r="D88" s="209" t="s">
        <v>173</v>
      </c>
      <c r="E88" s="209" t="s">
        <v>554</v>
      </c>
      <c r="F88" s="207"/>
      <c r="G88" s="113"/>
      <c r="H88" s="125"/>
      <c r="I88" s="125"/>
      <c r="J88" s="125"/>
      <c r="K88" s="125"/>
      <c r="L88" s="125"/>
      <c r="M88" s="125"/>
      <c r="N88" s="125"/>
      <c r="O88" s="125"/>
      <c r="P88" s="126"/>
      <c r="Q88" s="126"/>
      <c r="R88" s="127">
        <f>R89</f>
        <v>37.15</v>
      </c>
      <c r="S88" s="127"/>
      <c r="T88" s="128">
        <f>T89</f>
        <v>29.06221</v>
      </c>
    </row>
    <row r="89" spans="1:20" ht="19.5" customHeight="1">
      <c r="A89" s="213" t="s">
        <v>180</v>
      </c>
      <c r="B89" s="211" t="s">
        <v>134</v>
      </c>
      <c r="C89" s="211" t="s">
        <v>129</v>
      </c>
      <c r="D89" s="211" t="s">
        <v>173</v>
      </c>
      <c r="E89" s="211" t="s">
        <v>554</v>
      </c>
      <c r="F89" s="212" t="s">
        <v>181</v>
      </c>
      <c r="G89" s="117"/>
      <c r="H89" s="121"/>
      <c r="I89" s="121"/>
      <c r="J89" s="121"/>
      <c r="K89" s="121"/>
      <c r="L89" s="121"/>
      <c r="M89" s="121"/>
      <c r="N89" s="121"/>
      <c r="O89" s="121"/>
      <c r="P89" s="122"/>
      <c r="Q89" s="122"/>
      <c r="R89" s="123">
        <v>37.15</v>
      </c>
      <c r="S89" s="123"/>
      <c r="T89" s="124">
        <v>29.06221</v>
      </c>
    </row>
    <row r="90" spans="1:20">
      <c r="A90" s="208" t="s">
        <v>192</v>
      </c>
      <c r="B90" s="209"/>
      <c r="C90" s="209" t="s">
        <v>135</v>
      </c>
      <c r="D90" s="209" t="s">
        <v>193</v>
      </c>
      <c r="E90" s="209"/>
      <c r="F90" s="212"/>
      <c r="G90" s="113">
        <f t="shared" ref="G90:T91" si="21">G91</f>
        <v>2189.4290000000001</v>
      </c>
      <c r="H90" s="113">
        <f t="shared" si="21"/>
        <v>0</v>
      </c>
      <c r="I90" s="113">
        <f t="shared" si="21"/>
        <v>0</v>
      </c>
      <c r="J90" s="113">
        <f t="shared" si="21"/>
        <v>0</v>
      </c>
      <c r="K90" s="113">
        <f t="shared" si="21"/>
        <v>0</v>
      </c>
      <c r="L90" s="113">
        <f t="shared" si="21"/>
        <v>22.486999999999998</v>
      </c>
      <c r="M90" s="113">
        <f t="shared" si="21"/>
        <v>0</v>
      </c>
      <c r="N90" s="113">
        <f t="shared" si="21"/>
        <v>0</v>
      </c>
      <c r="O90" s="113">
        <f t="shared" si="21"/>
        <v>0</v>
      </c>
      <c r="P90" s="114">
        <f t="shared" si="21"/>
        <v>0</v>
      </c>
      <c r="Q90" s="114">
        <f t="shared" si="21"/>
        <v>0</v>
      </c>
      <c r="R90" s="115"/>
      <c r="S90" s="115"/>
      <c r="T90" s="116">
        <f t="shared" si="21"/>
        <v>2211.9160000000002</v>
      </c>
    </row>
    <row r="91" spans="1:20" s="7" customFormat="1" ht="22.5">
      <c r="A91" s="208" t="s">
        <v>194</v>
      </c>
      <c r="B91" s="209" t="s">
        <v>134</v>
      </c>
      <c r="C91" s="209" t="s">
        <v>135</v>
      </c>
      <c r="D91" s="209" t="s">
        <v>193</v>
      </c>
      <c r="E91" s="209" t="s">
        <v>195</v>
      </c>
      <c r="F91" s="207"/>
      <c r="G91" s="113">
        <f t="shared" si="21"/>
        <v>2189.4290000000001</v>
      </c>
      <c r="H91" s="113">
        <f t="shared" si="21"/>
        <v>0</v>
      </c>
      <c r="I91" s="113">
        <f t="shared" si="21"/>
        <v>0</v>
      </c>
      <c r="J91" s="113">
        <f t="shared" si="21"/>
        <v>0</v>
      </c>
      <c r="K91" s="113">
        <f t="shared" si="21"/>
        <v>0</v>
      </c>
      <c r="L91" s="113">
        <f t="shared" si="21"/>
        <v>22.486999999999998</v>
      </c>
      <c r="M91" s="113">
        <f t="shared" si="21"/>
        <v>0</v>
      </c>
      <c r="N91" s="113">
        <f t="shared" si="21"/>
        <v>0</v>
      </c>
      <c r="O91" s="113">
        <f t="shared" si="21"/>
        <v>0</v>
      </c>
      <c r="P91" s="114">
        <f t="shared" si="21"/>
        <v>0</v>
      </c>
      <c r="Q91" s="114">
        <f t="shared" si="21"/>
        <v>0</v>
      </c>
      <c r="R91" s="115"/>
      <c r="S91" s="115"/>
      <c r="T91" s="116">
        <f t="shared" si="21"/>
        <v>2211.9160000000002</v>
      </c>
    </row>
    <row r="92" spans="1:20">
      <c r="A92" s="210" t="s">
        <v>196</v>
      </c>
      <c r="B92" s="211" t="s">
        <v>134</v>
      </c>
      <c r="C92" s="211" t="s">
        <v>135</v>
      </c>
      <c r="D92" s="211" t="s">
        <v>193</v>
      </c>
      <c r="E92" s="211" t="s">
        <v>195</v>
      </c>
      <c r="F92" s="212" t="s">
        <v>197</v>
      </c>
      <c r="G92" s="117">
        <v>2189.4290000000001</v>
      </c>
      <c r="H92" s="121"/>
      <c r="I92" s="121"/>
      <c r="J92" s="121"/>
      <c r="K92" s="121"/>
      <c r="L92" s="121">
        <v>22.486999999999998</v>
      </c>
      <c r="M92" s="121"/>
      <c r="N92" s="121"/>
      <c r="O92" s="121"/>
      <c r="P92" s="122"/>
      <c r="Q92" s="122"/>
      <c r="R92" s="123"/>
      <c r="S92" s="123"/>
      <c r="T92" s="124">
        <f>G92+H92+I92+L92</f>
        <v>2211.9160000000002</v>
      </c>
    </row>
    <row r="93" spans="1:20" ht="22.5">
      <c r="A93" s="208" t="s">
        <v>198</v>
      </c>
      <c r="B93" s="209"/>
      <c r="C93" s="209" t="s">
        <v>193</v>
      </c>
      <c r="D93" s="209"/>
      <c r="E93" s="209"/>
      <c r="F93" s="207"/>
      <c r="G93" s="113">
        <f t="shared" ref="G93:M93" si="22">G94+G100+G97</f>
        <v>1300</v>
      </c>
      <c r="H93" s="113">
        <f t="shared" si="22"/>
        <v>0</v>
      </c>
      <c r="I93" s="113">
        <f t="shared" si="22"/>
        <v>0</v>
      </c>
      <c r="J93" s="113">
        <f t="shared" si="22"/>
        <v>0</v>
      </c>
      <c r="K93" s="113">
        <f t="shared" si="22"/>
        <v>0</v>
      </c>
      <c r="L93" s="113">
        <f t="shared" si="22"/>
        <v>0</v>
      </c>
      <c r="M93" s="113">
        <f t="shared" si="22"/>
        <v>0</v>
      </c>
      <c r="N93" s="113">
        <f>N94+N97+N98+N100+N103</f>
        <v>7249.1</v>
      </c>
      <c r="O93" s="113">
        <f>O94+O97+O98+O100+O103</f>
        <v>0</v>
      </c>
      <c r="P93" s="114">
        <f>P94+P97+P100+P103</f>
        <v>14</v>
      </c>
      <c r="Q93" s="114">
        <f>Q94+Q97+Q98+Q100+Q103</f>
        <v>-16.392849999999999</v>
      </c>
      <c r="R93" s="113">
        <f>R94+R97+R100+R103</f>
        <v>11.05888</v>
      </c>
      <c r="S93" s="113">
        <f>S94+S97+S100+S103</f>
        <v>-159.27699999999999</v>
      </c>
      <c r="T93" s="116">
        <f>T94+T100+T97+T103</f>
        <v>8237.1884200000004</v>
      </c>
    </row>
    <row r="94" spans="1:20">
      <c r="A94" s="216" t="s">
        <v>199</v>
      </c>
      <c r="B94" s="209"/>
      <c r="C94" s="209" t="s">
        <v>193</v>
      </c>
      <c r="D94" s="209" t="s">
        <v>135</v>
      </c>
      <c r="E94" s="209"/>
      <c r="F94" s="207"/>
      <c r="G94" s="113">
        <f t="shared" ref="G94:T94" si="23">G95</f>
        <v>600</v>
      </c>
      <c r="H94" s="113">
        <f t="shared" si="23"/>
        <v>0</v>
      </c>
      <c r="I94" s="113">
        <f t="shared" si="23"/>
        <v>0</v>
      </c>
      <c r="J94" s="113">
        <f t="shared" si="23"/>
        <v>0</v>
      </c>
      <c r="K94" s="113">
        <f t="shared" si="23"/>
        <v>0</v>
      </c>
      <c r="L94" s="113">
        <f t="shared" si="23"/>
        <v>0</v>
      </c>
      <c r="M94" s="113">
        <f t="shared" si="23"/>
        <v>0</v>
      </c>
      <c r="N94" s="113">
        <f t="shared" si="23"/>
        <v>0</v>
      </c>
      <c r="O94" s="113">
        <f t="shared" si="23"/>
        <v>0</v>
      </c>
      <c r="P94" s="114">
        <f t="shared" si="23"/>
        <v>0</v>
      </c>
      <c r="Q94" s="114">
        <f t="shared" si="23"/>
        <v>0</v>
      </c>
      <c r="R94" s="115"/>
      <c r="S94" s="115"/>
      <c r="T94" s="116">
        <f t="shared" si="23"/>
        <v>438.7</v>
      </c>
    </row>
    <row r="95" spans="1:20" s="6" customFormat="1">
      <c r="A95" s="216" t="s">
        <v>190</v>
      </c>
      <c r="B95" s="209" t="s">
        <v>134</v>
      </c>
      <c r="C95" s="209" t="s">
        <v>193</v>
      </c>
      <c r="D95" s="209" t="s">
        <v>135</v>
      </c>
      <c r="E95" s="209" t="s">
        <v>191</v>
      </c>
      <c r="F95" s="207"/>
      <c r="G95" s="117">
        <f>G96</f>
        <v>600</v>
      </c>
      <c r="H95" s="117">
        <f>H96</f>
        <v>0</v>
      </c>
      <c r="I95" s="117">
        <f>I96</f>
        <v>0</v>
      </c>
      <c r="J95" s="117"/>
      <c r="K95" s="117"/>
      <c r="L95" s="117"/>
      <c r="M95" s="117"/>
      <c r="N95" s="117"/>
      <c r="O95" s="117"/>
      <c r="P95" s="118"/>
      <c r="Q95" s="118"/>
      <c r="R95" s="119"/>
      <c r="S95" s="119"/>
      <c r="T95" s="116">
        <f>T96</f>
        <v>438.7</v>
      </c>
    </row>
    <row r="96" spans="1:20">
      <c r="A96" s="214" t="s">
        <v>151</v>
      </c>
      <c r="B96" s="211" t="s">
        <v>134</v>
      </c>
      <c r="C96" s="211" t="s">
        <v>193</v>
      </c>
      <c r="D96" s="211" t="s">
        <v>135</v>
      </c>
      <c r="E96" s="211" t="s">
        <v>191</v>
      </c>
      <c r="F96" s="212" t="s">
        <v>152</v>
      </c>
      <c r="G96" s="117">
        <v>600</v>
      </c>
      <c r="H96" s="121"/>
      <c r="I96" s="121"/>
      <c r="J96" s="121"/>
      <c r="K96" s="121"/>
      <c r="L96" s="121"/>
      <c r="M96" s="121"/>
      <c r="N96" s="121"/>
      <c r="O96" s="121"/>
      <c r="P96" s="122"/>
      <c r="Q96" s="122"/>
      <c r="R96" s="123"/>
      <c r="S96" s="123"/>
      <c r="T96" s="124">
        <v>438.7</v>
      </c>
    </row>
    <row r="97" spans="1:21">
      <c r="A97" s="208" t="s">
        <v>200</v>
      </c>
      <c r="B97" s="211"/>
      <c r="C97" s="209" t="s">
        <v>193</v>
      </c>
      <c r="D97" s="209" t="s">
        <v>145</v>
      </c>
      <c r="E97" s="211"/>
      <c r="F97" s="212"/>
      <c r="G97" s="113">
        <f t="shared" ref="G97:T98" si="24">G98</f>
        <v>200</v>
      </c>
      <c r="H97" s="113">
        <f t="shared" si="24"/>
        <v>0</v>
      </c>
      <c r="I97" s="113">
        <f t="shared" si="24"/>
        <v>0</v>
      </c>
      <c r="J97" s="113">
        <f t="shared" si="24"/>
        <v>0</v>
      </c>
      <c r="K97" s="113">
        <f t="shared" si="24"/>
        <v>0</v>
      </c>
      <c r="L97" s="113">
        <f t="shared" si="24"/>
        <v>0</v>
      </c>
      <c r="M97" s="113">
        <f t="shared" si="24"/>
        <v>0</v>
      </c>
      <c r="N97" s="113">
        <f t="shared" si="24"/>
        <v>0</v>
      </c>
      <c r="O97" s="113">
        <f t="shared" si="24"/>
        <v>0</v>
      </c>
      <c r="P97" s="114">
        <f t="shared" si="24"/>
        <v>14</v>
      </c>
      <c r="Q97" s="114">
        <f t="shared" si="24"/>
        <v>0</v>
      </c>
      <c r="R97" s="115">
        <f>R98</f>
        <v>11.05888</v>
      </c>
      <c r="S97" s="115"/>
      <c r="T97" s="116">
        <f t="shared" si="24"/>
        <v>225.05887999999999</v>
      </c>
    </row>
    <row r="98" spans="1:21" s="7" customFormat="1" ht="22.5">
      <c r="A98" s="208" t="s">
        <v>201</v>
      </c>
      <c r="B98" s="209" t="s">
        <v>134</v>
      </c>
      <c r="C98" s="209" t="s">
        <v>193</v>
      </c>
      <c r="D98" s="209" t="s">
        <v>145</v>
      </c>
      <c r="E98" s="209" t="s">
        <v>202</v>
      </c>
      <c r="F98" s="207"/>
      <c r="G98" s="113">
        <f t="shared" si="24"/>
        <v>200</v>
      </c>
      <c r="H98" s="113">
        <f t="shared" si="24"/>
        <v>0</v>
      </c>
      <c r="I98" s="113">
        <f t="shared" si="24"/>
        <v>0</v>
      </c>
      <c r="J98" s="113">
        <f t="shared" si="24"/>
        <v>0</v>
      </c>
      <c r="K98" s="113">
        <f t="shared" si="24"/>
        <v>0</v>
      </c>
      <c r="L98" s="113">
        <f t="shared" si="24"/>
        <v>0</v>
      </c>
      <c r="M98" s="113">
        <f t="shared" si="24"/>
        <v>0</v>
      </c>
      <c r="N98" s="113">
        <f t="shared" si="24"/>
        <v>0</v>
      </c>
      <c r="O98" s="113">
        <f t="shared" si="24"/>
        <v>0</v>
      </c>
      <c r="P98" s="114">
        <f t="shared" si="24"/>
        <v>14</v>
      </c>
      <c r="Q98" s="114">
        <f t="shared" si="24"/>
        <v>0</v>
      </c>
      <c r="R98" s="115">
        <f>R99</f>
        <v>11.05888</v>
      </c>
      <c r="S98" s="115"/>
      <c r="T98" s="116">
        <f t="shared" si="24"/>
        <v>225.05887999999999</v>
      </c>
    </row>
    <row r="99" spans="1:21">
      <c r="A99" s="210" t="s">
        <v>196</v>
      </c>
      <c r="B99" s="211" t="s">
        <v>134</v>
      </c>
      <c r="C99" s="211" t="s">
        <v>193</v>
      </c>
      <c r="D99" s="211" t="s">
        <v>145</v>
      </c>
      <c r="E99" s="211" t="s">
        <v>202</v>
      </c>
      <c r="F99" s="212" t="s">
        <v>197</v>
      </c>
      <c r="G99" s="117">
        <v>200</v>
      </c>
      <c r="H99" s="121"/>
      <c r="I99" s="121"/>
      <c r="J99" s="121"/>
      <c r="K99" s="121"/>
      <c r="L99" s="121"/>
      <c r="M99" s="121"/>
      <c r="N99" s="121"/>
      <c r="O99" s="121"/>
      <c r="P99" s="122">
        <v>14</v>
      </c>
      <c r="Q99" s="122"/>
      <c r="R99" s="123">
        <v>11.05888</v>
      </c>
      <c r="S99" s="123"/>
      <c r="T99" s="124">
        <f>G99+H99+I99+P99+R99</f>
        <v>225.05887999999999</v>
      </c>
    </row>
    <row r="100" spans="1:21" ht="22.5">
      <c r="A100" s="216" t="s">
        <v>198</v>
      </c>
      <c r="B100" s="211"/>
      <c r="C100" s="209" t="s">
        <v>193</v>
      </c>
      <c r="D100" s="209" t="s">
        <v>203</v>
      </c>
      <c r="E100" s="211"/>
      <c r="F100" s="212"/>
      <c r="G100" s="113">
        <f t="shared" ref="G100:T101" si="25">G101</f>
        <v>500</v>
      </c>
      <c r="H100" s="113">
        <f t="shared" si="25"/>
        <v>0</v>
      </c>
      <c r="I100" s="113">
        <f t="shared" si="25"/>
        <v>0</v>
      </c>
      <c r="J100" s="113">
        <f t="shared" si="25"/>
        <v>0</v>
      </c>
      <c r="K100" s="113">
        <f t="shared" si="25"/>
        <v>0</v>
      </c>
      <c r="L100" s="113">
        <f t="shared" si="25"/>
        <v>0</v>
      </c>
      <c r="M100" s="113">
        <f t="shared" si="25"/>
        <v>0</v>
      </c>
      <c r="N100" s="113">
        <f t="shared" si="25"/>
        <v>0</v>
      </c>
      <c r="O100" s="113">
        <f t="shared" si="25"/>
        <v>0</v>
      </c>
      <c r="P100" s="114">
        <f t="shared" si="25"/>
        <v>0</v>
      </c>
      <c r="Q100" s="114">
        <f t="shared" si="25"/>
        <v>-16.392849999999999</v>
      </c>
      <c r="R100" s="115"/>
      <c r="S100" s="115">
        <f>S101</f>
        <v>-159.27699999999999</v>
      </c>
      <c r="T100" s="116">
        <f t="shared" si="25"/>
        <v>324.32954000000001</v>
      </c>
    </row>
    <row r="101" spans="1:21" ht="33.75">
      <c r="A101" s="210" t="s">
        <v>204</v>
      </c>
      <c r="B101" s="211" t="s">
        <v>134</v>
      </c>
      <c r="C101" s="211" t="s">
        <v>193</v>
      </c>
      <c r="D101" s="211" t="s">
        <v>203</v>
      </c>
      <c r="E101" s="211" t="s">
        <v>205</v>
      </c>
      <c r="F101" s="212"/>
      <c r="G101" s="117">
        <f>G102</f>
        <v>500</v>
      </c>
      <c r="H101" s="117">
        <f t="shared" si="25"/>
        <v>0</v>
      </c>
      <c r="I101" s="117">
        <f t="shared" si="25"/>
        <v>0</v>
      </c>
      <c r="J101" s="117">
        <f t="shared" si="25"/>
        <v>0</v>
      </c>
      <c r="K101" s="117">
        <f t="shared" si="25"/>
        <v>0</v>
      </c>
      <c r="L101" s="117">
        <f t="shared" si="25"/>
        <v>0</v>
      </c>
      <c r="M101" s="117">
        <f t="shared" si="25"/>
        <v>0</v>
      </c>
      <c r="N101" s="117">
        <f t="shared" si="25"/>
        <v>0</v>
      </c>
      <c r="O101" s="117">
        <f t="shared" si="25"/>
        <v>0</v>
      </c>
      <c r="P101" s="118">
        <f t="shared" si="25"/>
        <v>0</v>
      </c>
      <c r="Q101" s="118">
        <f t="shared" si="25"/>
        <v>-16.392849999999999</v>
      </c>
      <c r="R101" s="119"/>
      <c r="S101" s="119">
        <f>S102</f>
        <v>-159.27699999999999</v>
      </c>
      <c r="T101" s="120">
        <f>T102</f>
        <v>324.32954000000001</v>
      </c>
    </row>
    <row r="102" spans="1:21">
      <c r="A102" s="214" t="s">
        <v>151</v>
      </c>
      <c r="B102" s="211" t="s">
        <v>134</v>
      </c>
      <c r="C102" s="211" t="s">
        <v>193</v>
      </c>
      <c r="D102" s="211" t="s">
        <v>203</v>
      </c>
      <c r="E102" s="211" t="s">
        <v>205</v>
      </c>
      <c r="F102" s="212" t="s">
        <v>152</v>
      </c>
      <c r="G102" s="117">
        <v>500</v>
      </c>
      <c r="H102" s="121"/>
      <c r="I102" s="121"/>
      <c r="J102" s="121"/>
      <c r="K102" s="121"/>
      <c r="L102" s="121"/>
      <c r="M102" s="121"/>
      <c r="N102" s="121"/>
      <c r="O102" s="121"/>
      <c r="P102" s="122"/>
      <c r="Q102" s="122">
        <v>-16.392849999999999</v>
      </c>
      <c r="R102" s="123"/>
      <c r="S102" s="123">
        <v>-159.27699999999999</v>
      </c>
      <c r="T102" s="124">
        <v>324.32954000000001</v>
      </c>
    </row>
    <row r="103" spans="1:21" s="6" customFormat="1">
      <c r="A103" s="221" t="s">
        <v>451</v>
      </c>
      <c r="B103" s="209"/>
      <c r="C103" s="209" t="s">
        <v>193</v>
      </c>
      <c r="D103" s="209" t="s">
        <v>341</v>
      </c>
      <c r="E103" s="209"/>
      <c r="F103" s="207"/>
      <c r="G103" s="113"/>
      <c r="H103" s="125"/>
      <c r="I103" s="125"/>
      <c r="J103" s="125"/>
      <c r="K103" s="125"/>
      <c r="L103" s="125"/>
      <c r="M103" s="125"/>
      <c r="N103" s="125">
        <f>N104</f>
        <v>7249.1</v>
      </c>
      <c r="O103" s="125">
        <f t="shared" ref="O103:Q104" si="26">O104</f>
        <v>0</v>
      </c>
      <c r="P103" s="126">
        <f t="shared" si="26"/>
        <v>0</v>
      </c>
      <c r="Q103" s="126">
        <f t="shared" si="26"/>
        <v>0</v>
      </c>
      <c r="R103" s="127"/>
      <c r="S103" s="127"/>
      <c r="T103" s="128">
        <f>T104</f>
        <v>7249.1</v>
      </c>
    </row>
    <row r="104" spans="1:21" s="6" customFormat="1" ht="33.75">
      <c r="A104" s="230" t="s">
        <v>452</v>
      </c>
      <c r="B104" s="209" t="s">
        <v>134</v>
      </c>
      <c r="C104" s="209" t="s">
        <v>193</v>
      </c>
      <c r="D104" s="209" t="s">
        <v>341</v>
      </c>
      <c r="E104" s="209" t="s">
        <v>450</v>
      </c>
      <c r="F104" s="207"/>
      <c r="G104" s="113"/>
      <c r="H104" s="125"/>
      <c r="I104" s="125"/>
      <c r="J104" s="125"/>
      <c r="K104" s="125"/>
      <c r="L104" s="125"/>
      <c r="M104" s="125"/>
      <c r="N104" s="125">
        <f>N105</f>
        <v>7249.1</v>
      </c>
      <c r="O104" s="125">
        <f t="shared" si="26"/>
        <v>0</v>
      </c>
      <c r="P104" s="126">
        <f t="shared" si="26"/>
        <v>0</v>
      </c>
      <c r="Q104" s="126">
        <f t="shared" si="26"/>
        <v>0</v>
      </c>
      <c r="R104" s="127"/>
      <c r="S104" s="127"/>
      <c r="T104" s="128">
        <f>T105</f>
        <v>7249.1</v>
      </c>
    </row>
    <row r="105" spans="1:21">
      <c r="A105" s="227" t="s">
        <v>427</v>
      </c>
      <c r="B105" s="211" t="s">
        <v>134</v>
      </c>
      <c r="C105" s="211" t="s">
        <v>193</v>
      </c>
      <c r="D105" s="211" t="s">
        <v>341</v>
      </c>
      <c r="E105" s="211" t="s">
        <v>450</v>
      </c>
      <c r="F105" s="212" t="s">
        <v>428</v>
      </c>
      <c r="G105" s="117"/>
      <c r="H105" s="121"/>
      <c r="I105" s="121"/>
      <c r="J105" s="121"/>
      <c r="K105" s="121"/>
      <c r="L105" s="121"/>
      <c r="M105" s="121"/>
      <c r="N105" s="121">
        <v>7249.1</v>
      </c>
      <c r="O105" s="121"/>
      <c r="P105" s="122"/>
      <c r="Q105" s="122"/>
      <c r="R105" s="123"/>
      <c r="S105" s="123"/>
      <c r="T105" s="124">
        <v>7249.1</v>
      </c>
    </row>
    <row r="106" spans="1:21">
      <c r="A106" s="208" t="s">
        <v>206</v>
      </c>
      <c r="B106" s="209"/>
      <c r="C106" s="209" t="s">
        <v>145</v>
      </c>
      <c r="D106" s="209"/>
      <c r="E106" s="209"/>
      <c r="F106" s="207"/>
      <c r="G106" s="113">
        <f t="shared" ref="G106:T106" si="27">G107+G115+G148+G154+G170</f>
        <v>78363.538</v>
      </c>
      <c r="H106" s="113">
        <f t="shared" si="27"/>
        <v>526</v>
      </c>
      <c r="I106" s="113">
        <f t="shared" si="27"/>
        <v>750</v>
      </c>
      <c r="J106" s="113">
        <f t="shared" si="27"/>
        <v>450</v>
      </c>
      <c r="K106" s="113">
        <f t="shared" si="27"/>
        <v>0</v>
      </c>
      <c r="L106" s="113">
        <f t="shared" si="27"/>
        <v>665.48163999999997</v>
      </c>
      <c r="M106" s="113">
        <f t="shared" si="27"/>
        <v>389</v>
      </c>
      <c r="N106" s="113">
        <f>+N107+N115+N148+N154+N170</f>
        <v>43890.144</v>
      </c>
      <c r="O106" s="113">
        <f>O107+O115+O148+O154+O170</f>
        <v>4801.0359999999982</v>
      </c>
      <c r="P106" s="114">
        <f>P107+P115+P148+P154+P170</f>
        <v>16285.874</v>
      </c>
      <c r="Q106" s="114">
        <f>Q107+Q115+Q148+Q154+Q170</f>
        <v>467.00105000000002</v>
      </c>
      <c r="R106" s="113">
        <f>R107+R115+R148+R154+R170</f>
        <v>-13279.859</v>
      </c>
      <c r="S106" s="113">
        <f>S107+S115+S148+S154+S170</f>
        <v>75.800000000000011</v>
      </c>
      <c r="T106" s="116">
        <f t="shared" si="27"/>
        <v>125216.19646000001</v>
      </c>
    </row>
    <row r="107" spans="1:21">
      <c r="A107" s="208" t="s">
        <v>207</v>
      </c>
      <c r="B107" s="209"/>
      <c r="C107" s="209" t="s">
        <v>145</v>
      </c>
      <c r="D107" s="209" t="s">
        <v>129</v>
      </c>
      <c r="E107" s="209"/>
      <c r="F107" s="207"/>
      <c r="G107" s="113">
        <f t="shared" ref="G107:T107" si="28">G108+G113</f>
        <v>1065.3</v>
      </c>
      <c r="H107" s="113">
        <f t="shared" si="28"/>
        <v>0</v>
      </c>
      <c r="I107" s="113">
        <f t="shared" si="28"/>
        <v>0</v>
      </c>
      <c r="J107" s="113">
        <f t="shared" si="28"/>
        <v>0</v>
      </c>
      <c r="K107" s="113">
        <f t="shared" si="28"/>
        <v>0</v>
      </c>
      <c r="L107" s="113">
        <f t="shared" si="28"/>
        <v>0</v>
      </c>
      <c r="M107" s="113">
        <f t="shared" si="28"/>
        <v>0</v>
      </c>
      <c r="N107" s="113"/>
      <c r="O107" s="113">
        <f>O108+O113</f>
        <v>0</v>
      </c>
      <c r="P107" s="114">
        <f>P108+P113</f>
        <v>-51.3</v>
      </c>
      <c r="Q107" s="114">
        <f>Q108+Q113</f>
        <v>0</v>
      </c>
      <c r="R107" s="115"/>
      <c r="S107" s="115"/>
      <c r="T107" s="116">
        <f t="shared" si="28"/>
        <v>1066.6399999999999</v>
      </c>
    </row>
    <row r="108" spans="1:21" s="7" customFormat="1" ht="33.75">
      <c r="A108" s="208" t="s">
        <v>208</v>
      </c>
      <c r="B108" s="209" t="s">
        <v>134</v>
      </c>
      <c r="C108" s="209" t="s">
        <v>145</v>
      </c>
      <c r="D108" s="209" t="s">
        <v>129</v>
      </c>
      <c r="E108" s="209" t="s">
        <v>209</v>
      </c>
      <c r="F108" s="207"/>
      <c r="G108" s="113">
        <f t="shared" ref="G108:M108" si="29">G112+G109+G110+G111</f>
        <v>1014</v>
      </c>
      <c r="H108" s="113">
        <f t="shared" si="29"/>
        <v>0</v>
      </c>
      <c r="I108" s="113">
        <f t="shared" si="29"/>
        <v>0</v>
      </c>
      <c r="J108" s="113">
        <f t="shared" si="29"/>
        <v>0</v>
      </c>
      <c r="K108" s="113">
        <f t="shared" si="29"/>
        <v>0</v>
      </c>
      <c r="L108" s="113">
        <f t="shared" si="29"/>
        <v>0</v>
      </c>
      <c r="M108" s="113">
        <f t="shared" si="29"/>
        <v>0</v>
      </c>
      <c r="N108" s="113"/>
      <c r="O108" s="113">
        <f>O110+O112</f>
        <v>0</v>
      </c>
      <c r="P108" s="114">
        <f>P110+P112</f>
        <v>0</v>
      </c>
      <c r="Q108" s="114">
        <f>Q110+Q112</f>
        <v>0</v>
      </c>
      <c r="R108" s="113">
        <f>R110+R112</f>
        <v>0</v>
      </c>
      <c r="S108" s="113">
        <f>S109+S110+S111+S112</f>
        <v>0</v>
      </c>
      <c r="T108" s="116">
        <f>T112+T109+T110+T111</f>
        <v>1066.6399999999999</v>
      </c>
    </row>
    <row r="109" spans="1:21">
      <c r="A109" s="213" t="s">
        <v>139</v>
      </c>
      <c r="B109" s="211" t="s">
        <v>134</v>
      </c>
      <c r="C109" s="211" t="s">
        <v>145</v>
      </c>
      <c r="D109" s="211" t="s">
        <v>129</v>
      </c>
      <c r="E109" s="211" t="s">
        <v>209</v>
      </c>
      <c r="F109" s="212" t="s">
        <v>141</v>
      </c>
      <c r="G109" s="117">
        <f>664.14+154.624</f>
        <v>818.76400000000001</v>
      </c>
      <c r="H109" s="121"/>
      <c r="I109" s="121"/>
      <c r="J109" s="121"/>
      <c r="K109" s="121"/>
      <c r="L109" s="121"/>
      <c r="M109" s="121"/>
      <c r="N109" s="121"/>
      <c r="O109" s="121"/>
      <c r="P109" s="122"/>
      <c r="Q109" s="122"/>
      <c r="R109" s="123"/>
      <c r="S109" s="123">
        <v>62.362119999999997</v>
      </c>
      <c r="T109" s="124">
        <v>933.76612</v>
      </c>
      <c r="U109" s="8"/>
    </row>
    <row r="110" spans="1:21">
      <c r="A110" s="214" t="s">
        <v>142</v>
      </c>
      <c r="B110" s="211" t="s">
        <v>134</v>
      </c>
      <c r="C110" s="211" t="s">
        <v>145</v>
      </c>
      <c r="D110" s="211" t="s">
        <v>129</v>
      </c>
      <c r="E110" s="211" t="s">
        <v>209</v>
      </c>
      <c r="F110" s="212" t="s">
        <v>143</v>
      </c>
      <c r="G110" s="117">
        <v>2.04</v>
      </c>
      <c r="H110" s="121"/>
      <c r="I110" s="121"/>
      <c r="J110" s="121"/>
      <c r="K110" s="121"/>
      <c r="L110" s="121"/>
      <c r="M110" s="121"/>
      <c r="N110" s="121"/>
      <c r="O110" s="121">
        <v>0.26</v>
      </c>
      <c r="P110" s="122"/>
      <c r="Q110" s="122"/>
      <c r="R110" s="123"/>
      <c r="S110" s="123"/>
      <c r="T110" s="124">
        <f>G110+H110+I110+O110</f>
        <v>2.2999999999999998</v>
      </c>
    </row>
    <row r="111" spans="1:21" ht="22.5">
      <c r="A111" s="214" t="s">
        <v>149</v>
      </c>
      <c r="B111" s="211" t="s">
        <v>134</v>
      </c>
      <c r="C111" s="211" t="s">
        <v>145</v>
      </c>
      <c r="D111" s="211" t="s">
        <v>129</v>
      </c>
      <c r="E111" s="211" t="s">
        <v>209</v>
      </c>
      <c r="F111" s="212" t="s">
        <v>150</v>
      </c>
      <c r="G111" s="117"/>
      <c r="H111" s="121"/>
      <c r="I111" s="121">
        <v>48</v>
      </c>
      <c r="J111" s="121"/>
      <c r="K111" s="121"/>
      <c r="L111" s="121"/>
      <c r="M111" s="121"/>
      <c r="N111" s="121"/>
      <c r="O111" s="121"/>
      <c r="P111" s="122"/>
      <c r="Q111" s="122"/>
      <c r="R111" s="123"/>
      <c r="S111" s="123">
        <v>-18</v>
      </c>
      <c r="T111" s="124">
        <f>G111+H111+I111+S111</f>
        <v>30</v>
      </c>
    </row>
    <row r="112" spans="1:21">
      <c r="A112" s="214" t="s">
        <v>151</v>
      </c>
      <c r="B112" s="211" t="s">
        <v>134</v>
      </c>
      <c r="C112" s="211" t="s">
        <v>145</v>
      </c>
      <c r="D112" s="211" t="s">
        <v>129</v>
      </c>
      <c r="E112" s="211" t="s">
        <v>209</v>
      </c>
      <c r="F112" s="212" t="s">
        <v>152</v>
      </c>
      <c r="G112" s="117">
        <v>193.196</v>
      </c>
      <c r="H112" s="121"/>
      <c r="I112" s="121">
        <v>-48</v>
      </c>
      <c r="J112" s="121"/>
      <c r="K112" s="121"/>
      <c r="L112" s="121"/>
      <c r="M112" s="121"/>
      <c r="N112" s="121"/>
      <c r="O112" s="121">
        <v>-0.26</v>
      </c>
      <c r="P112" s="122"/>
      <c r="Q112" s="122"/>
      <c r="R112" s="123"/>
      <c r="S112" s="123">
        <v>-44.362119999999997</v>
      </c>
      <c r="T112" s="124">
        <f>G112+H112+I112+O112+S112</f>
        <v>100.57388</v>
      </c>
    </row>
    <row r="113" spans="1:20" s="7" customFormat="1" ht="33.75">
      <c r="A113" s="208" t="s">
        <v>210</v>
      </c>
      <c r="B113" s="209" t="s">
        <v>134</v>
      </c>
      <c r="C113" s="209" t="s">
        <v>145</v>
      </c>
      <c r="D113" s="209" t="s">
        <v>129</v>
      </c>
      <c r="E113" s="209" t="s">
        <v>211</v>
      </c>
      <c r="F113" s="207"/>
      <c r="G113" s="113">
        <f t="shared" ref="G113:T113" si="30">G114</f>
        <v>51.3</v>
      </c>
      <c r="H113" s="113">
        <f t="shared" si="30"/>
        <v>0</v>
      </c>
      <c r="I113" s="113">
        <f t="shared" si="30"/>
        <v>0</v>
      </c>
      <c r="J113" s="113">
        <f t="shared" si="30"/>
        <v>0</v>
      </c>
      <c r="K113" s="113">
        <f t="shared" si="30"/>
        <v>0</v>
      </c>
      <c r="L113" s="113">
        <f t="shared" si="30"/>
        <v>0</v>
      </c>
      <c r="M113" s="113">
        <f t="shared" si="30"/>
        <v>0</v>
      </c>
      <c r="N113" s="113">
        <f t="shared" si="30"/>
        <v>0</v>
      </c>
      <c r="O113" s="113">
        <f t="shared" si="30"/>
        <v>0</v>
      </c>
      <c r="P113" s="114">
        <f t="shared" si="30"/>
        <v>-51.3</v>
      </c>
      <c r="Q113" s="114">
        <f t="shared" si="30"/>
        <v>0</v>
      </c>
      <c r="R113" s="115"/>
      <c r="S113" s="115"/>
      <c r="T113" s="116">
        <f t="shared" si="30"/>
        <v>0</v>
      </c>
    </row>
    <row r="114" spans="1:20">
      <c r="A114" s="214" t="s">
        <v>151</v>
      </c>
      <c r="B114" s="211" t="s">
        <v>134</v>
      </c>
      <c r="C114" s="211" t="s">
        <v>145</v>
      </c>
      <c r="D114" s="211" t="s">
        <v>129</v>
      </c>
      <c r="E114" s="211" t="s">
        <v>211</v>
      </c>
      <c r="F114" s="212" t="s">
        <v>152</v>
      </c>
      <c r="G114" s="117">
        <v>51.3</v>
      </c>
      <c r="H114" s="121"/>
      <c r="I114" s="121"/>
      <c r="J114" s="121"/>
      <c r="K114" s="121"/>
      <c r="L114" s="121"/>
      <c r="M114" s="121"/>
      <c r="N114" s="121"/>
      <c r="O114" s="121"/>
      <c r="P114" s="122">
        <v>-51.3</v>
      </c>
      <c r="Q114" s="122"/>
      <c r="R114" s="123"/>
      <c r="S114" s="123"/>
      <c r="T114" s="124">
        <f>G114+H114+I114+P114</f>
        <v>0</v>
      </c>
    </row>
    <row r="115" spans="1:20">
      <c r="A115" s="216" t="s">
        <v>212</v>
      </c>
      <c r="B115" s="209"/>
      <c r="C115" s="209" t="s">
        <v>145</v>
      </c>
      <c r="D115" s="209" t="s">
        <v>159</v>
      </c>
      <c r="E115" s="209"/>
      <c r="F115" s="207"/>
      <c r="G115" s="113">
        <f>G146+G116+G120+G122+G124+G126+G128+G132+G136+G141+G130+G118+G134</f>
        <v>38009</v>
      </c>
      <c r="H115" s="113">
        <f t="shared" ref="H115:T115" si="31">H146+H116+H120+H122+H124+H126+H128+H132+H136+H141+H130+H118+H134</f>
        <v>0</v>
      </c>
      <c r="I115" s="113">
        <f t="shared" si="31"/>
        <v>0</v>
      </c>
      <c r="J115" s="113">
        <f t="shared" si="31"/>
        <v>0</v>
      </c>
      <c r="K115" s="113">
        <f t="shared" si="31"/>
        <v>0</v>
      </c>
      <c r="L115" s="113">
        <f t="shared" si="31"/>
        <v>0</v>
      </c>
      <c r="M115" s="113">
        <f t="shared" si="31"/>
        <v>0</v>
      </c>
      <c r="N115" s="113">
        <f t="shared" si="31"/>
        <v>0</v>
      </c>
      <c r="O115" s="113">
        <f t="shared" si="31"/>
        <v>0</v>
      </c>
      <c r="P115" s="114">
        <f t="shared" si="31"/>
        <v>291.3</v>
      </c>
      <c r="Q115" s="114">
        <f t="shared" si="31"/>
        <v>0</v>
      </c>
      <c r="R115" s="113">
        <f>R146+R116+R120+R122+R124+R126+R128+R132+R136+R141+R130+R118+R134</f>
        <v>2346.4</v>
      </c>
      <c r="S115" s="113"/>
      <c r="T115" s="114">
        <f t="shared" si="31"/>
        <v>40159.690190000008</v>
      </c>
    </row>
    <row r="116" spans="1:20" s="7" customFormat="1">
      <c r="A116" s="216" t="s">
        <v>213</v>
      </c>
      <c r="B116" s="209" t="s">
        <v>134</v>
      </c>
      <c r="C116" s="209" t="s">
        <v>145</v>
      </c>
      <c r="D116" s="209" t="s">
        <v>159</v>
      </c>
      <c r="E116" s="209" t="s">
        <v>214</v>
      </c>
      <c r="F116" s="207"/>
      <c r="G116" s="113">
        <f t="shared" ref="G116:T116" si="32">G117</f>
        <v>4227</v>
      </c>
      <c r="H116" s="113">
        <f t="shared" si="32"/>
        <v>0</v>
      </c>
      <c r="I116" s="113">
        <f t="shared" si="32"/>
        <v>0</v>
      </c>
      <c r="J116" s="113">
        <f t="shared" si="32"/>
        <v>0</v>
      </c>
      <c r="K116" s="113">
        <f t="shared" si="32"/>
        <v>0</v>
      </c>
      <c r="L116" s="113">
        <f t="shared" si="32"/>
        <v>0</v>
      </c>
      <c r="M116" s="113">
        <f t="shared" si="32"/>
        <v>0</v>
      </c>
      <c r="N116" s="113">
        <f t="shared" si="32"/>
        <v>0</v>
      </c>
      <c r="O116" s="113">
        <f t="shared" si="32"/>
        <v>0</v>
      </c>
      <c r="P116" s="114">
        <f t="shared" si="32"/>
        <v>0</v>
      </c>
      <c r="Q116" s="114">
        <f t="shared" si="32"/>
        <v>0</v>
      </c>
      <c r="R116" s="115"/>
      <c r="S116" s="115"/>
      <c r="T116" s="116">
        <f t="shared" si="32"/>
        <v>4226.9992700000003</v>
      </c>
    </row>
    <row r="117" spans="1:20" ht="33.75">
      <c r="A117" s="214" t="s">
        <v>215</v>
      </c>
      <c r="B117" s="211" t="s">
        <v>134</v>
      </c>
      <c r="C117" s="211" t="s">
        <v>145</v>
      </c>
      <c r="D117" s="211" t="s">
        <v>159</v>
      </c>
      <c r="E117" s="211" t="s">
        <v>214</v>
      </c>
      <c r="F117" s="212" t="s">
        <v>216</v>
      </c>
      <c r="G117" s="117">
        <v>4227</v>
      </c>
      <c r="H117" s="121"/>
      <c r="I117" s="121"/>
      <c r="J117" s="121"/>
      <c r="K117" s="121"/>
      <c r="L117" s="121"/>
      <c r="M117" s="121"/>
      <c r="N117" s="121"/>
      <c r="O117" s="121"/>
      <c r="P117" s="122"/>
      <c r="Q117" s="122"/>
      <c r="R117" s="123"/>
      <c r="S117" s="123"/>
      <c r="T117" s="124">
        <v>4226.9992700000003</v>
      </c>
    </row>
    <row r="118" spans="1:20" s="6" customFormat="1">
      <c r="A118" s="231" t="s">
        <v>568</v>
      </c>
      <c r="B118" s="209" t="s">
        <v>134</v>
      </c>
      <c r="C118" s="209" t="s">
        <v>145</v>
      </c>
      <c r="D118" s="209" t="s">
        <v>159</v>
      </c>
      <c r="E118" s="209" t="s">
        <v>569</v>
      </c>
      <c r="F118" s="207"/>
      <c r="G118" s="113"/>
      <c r="H118" s="125"/>
      <c r="I118" s="125"/>
      <c r="J118" s="125"/>
      <c r="K118" s="125"/>
      <c r="L118" s="125"/>
      <c r="M118" s="125"/>
      <c r="N118" s="125"/>
      <c r="O118" s="125"/>
      <c r="P118" s="126">
        <f>P119</f>
        <v>240</v>
      </c>
      <c r="Q118" s="126">
        <f>Q119</f>
        <v>0</v>
      </c>
      <c r="R118" s="127">
        <f>R119</f>
        <v>1680</v>
      </c>
      <c r="S118" s="127"/>
      <c r="T118" s="128">
        <f>T119</f>
        <v>1919.9975999999999</v>
      </c>
    </row>
    <row r="119" spans="1:20" ht="33.75">
      <c r="A119" s="214" t="s">
        <v>215</v>
      </c>
      <c r="B119" s="209" t="s">
        <v>134</v>
      </c>
      <c r="C119" s="209" t="s">
        <v>145</v>
      </c>
      <c r="D119" s="209" t="s">
        <v>159</v>
      </c>
      <c r="E119" s="209" t="s">
        <v>569</v>
      </c>
      <c r="F119" s="212" t="s">
        <v>216</v>
      </c>
      <c r="G119" s="117"/>
      <c r="H119" s="121"/>
      <c r="I119" s="121"/>
      <c r="J119" s="121"/>
      <c r="K119" s="121"/>
      <c r="L119" s="121"/>
      <c r="M119" s="121"/>
      <c r="N119" s="121"/>
      <c r="O119" s="121"/>
      <c r="P119" s="122">
        <v>240</v>
      </c>
      <c r="Q119" s="122"/>
      <c r="R119" s="123">
        <v>1680</v>
      </c>
      <c r="S119" s="123"/>
      <c r="T119" s="124">
        <v>1919.9975999999999</v>
      </c>
    </row>
    <row r="120" spans="1:20" s="7" customFormat="1">
      <c r="A120" s="216" t="s">
        <v>217</v>
      </c>
      <c r="B120" s="209" t="s">
        <v>134</v>
      </c>
      <c r="C120" s="209" t="s">
        <v>145</v>
      </c>
      <c r="D120" s="209" t="s">
        <v>159</v>
      </c>
      <c r="E120" s="209" t="s">
        <v>218</v>
      </c>
      <c r="F120" s="207"/>
      <c r="G120" s="113">
        <f t="shared" ref="G120:T120" si="33">G121</f>
        <v>771</v>
      </c>
      <c r="H120" s="113">
        <f t="shared" si="33"/>
        <v>0</v>
      </c>
      <c r="I120" s="113">
        <f t="shared" si="33"/>
        <v>0</v>
      </c>
      <c r="J120" s="113">
        <f t="shared" si="33"/>
        <v>0</v>
      </c>
      <c r="K120" s="113">
        <f t="shared" si="33"/>
        <v>0</v>
      </c>
      <c r="L120" s="113">
        <f t="shared" si="33"/>
        <v>0</v>
      </c>
      <c r="M120" s="113">
        <f t="shared" si="33"/>
        <v>0</v>
      </c>
      <c r="N120" s="113">
        <f t="shared" si="33"/>
        <v>0</v>
      </c>
      <c r="O120" s="113">
        <f t="shared" si="33"/>
        <v>0</v>
      </c>
      <c r="P120" s="114">
        <f t="shared" si="33"/>
        <v>0</v>
      </c>
      <c r="Q120" s="114">
        <f t="shared" si="33"/>
        <v>0</v>
      </c>
      <c r="R120" s="115"/>
      <c r="S120" s="115"/>
      <c r="T120" s="116">
        <f t="shared" si="33"/>
        <v>770.99976000000004</v>
      </c>
    </row>
    <row r="121" spans="1:20" ht="33.75">
      <c r="A121" s="214" t="s">
        <v>215</v>
      </c>
      <c r="B121" s="211" t="s">
        <v>134</v>
      </c>
      <c r="C121" s="211" t="s">
        <v>145</v>
      </c>
      <c r="D121" s="211" t="s">
        <v>159</v>
      </c>
      <c r="E121" s="211" t="s">
        <v>218</v>
      </c>
      <c r="F121" s="212" t="s">
        <v>216</v>
      </c>
      <c r="G121" s="117">
        <v>771</v>
      </c>
      <c r="H121" s="121"/>
      <c r="I121" s="121"/>
      <c r="J121" s="121"/>
      <c r="K121" s="121"/>
      <c r="L121" s="121"/>
      <c r="M121" s="121"/>
      <c r="N121" s="121"/>
      <c r="O121" s="121"/>
      <c r="P121" s="122"/>
      <c r="Q121" s="122"/>
      <c r="R121" s="123"/>
      <c r="S121" s="123"/>
      <c r="T121" s="124">
        <v>770.99976000000004</v>
      </c>
    </row>
    <row r="122" spans="1:20" s="7" customFormat="1">
      <c r="A122" s="216" t="s">
        <v>219</v>
      </c>
      <c r="B122" s="209" t="s">
        <v>134</v>
      </c>
      <c r="C122" s="209" t="s">
        <v>145</v>
      </c>
      <c r="D122" s="209" t="s">
        <v>159</v>
      </c>
      <c r="E122" s="209" t="s">
        <v>220</v>
      </c>
      <c r="F122" s="207"/>
      <c r="G122" s="113">
        <f t="shared" ref="G122:T122" si="34">G123</f>
        <v>291</v>
      </c>
      <c r="H122" s="113">
        <f t="shared" si="34"/>
        <v>0</v>
      </c>
      <c r="I122" s="113">
        <f t="shared" si="34"/>
        <v>0</v>
      </c>
      <c r="J122" s="113">
        <f t="shared" si="34"/>
        <v>0</v>
      </c>
      <c r="K122" s="113">
        <f t="shared" si="34"/>
        <v>0</v>
      </c>
      <c r="L122" s="113">
        <f t="shared" si="34"/>
        <v>0</v>
      </c>
      <c r="M122" s="113">
        <f t="shared" si="34"/>
        <v>0</v>
      </c>
      <c r="N122" s="113">
        <f t="shared" si="34"/>
        <v>0</v>
      </c>
      <c r="O122" s="113">
        <f t="shared" si="34"/>
        <v>0</v>
      </c>
      <c r="P122" s="114">
        <f t="shared" si="34"/>
        <v>0</v>
      </c>
      <c r="Q122" s="114">
        <f t="shared" si="34"/>
        <v>0</v>
      </c>
      <c r="R122" s="115"/>
      <c r="S122" s="115"/>
      <c r="T122" s="116">
        <f t="shared" si="34"/>
        <v>290.99928</v>
      </c>
    </row>
    <row r="123" spans="1:20" ht="33.75">
      <c r="A123" s="214" t="s">
        <v>215</v>
      </c>
      <c r="B123" s="211" t="s">
        <v>134</v>
      </c>
      <c r="C123" s="211" t="s">
        <v>145</v>
      </c>
      <c r="D123" s="211" t="s">
        <v>159</v>
      </c>
      <c r="E123" s="211" t="s">
        <v>220</v>
      </c>
      <c r="F123" s="212" t="s">
        <v>216</v>
      </c>
      <c r="G123" s="117">
        <v>291</v>
      </c>
      <c r="H123" s="121"/>
      <c r="I123" s="121"/>
      <c r="J123" s="121"/>
      <c r="K123" s="121"/>
      <c r="L123" s="121"/>
      <c r="M123" s="121"/>
      <c r="N123" s="121"/>
      <c r="O123" s="121"/>
      <c r="P123" s="122"/>
      <c r="Q123" s="122"/>
      <c r="R123" s="123"/>
      <c r="S123" s="123"/>
      <c r="T123" s="124">
        <v>290.99928</v>
      </c>
    </row>
    <row r="124" spans="1:20" s="7" customFormat="1">
      <c r="A124" s="216" t="s">
        <v>221</v>
      </c>
      <c r="B124" s="209" t="s">
        <v>134</v>
      </c>
      <c r="C124" s="209" t="s">
        <v>145</v>
      </c>
      <c r="D124" s="209" t="s">
        <v>159</v>
      </c>
      <c r="E124" s="209" t="s">
        <v>222</v>
      </c>
      <c r="F124" s="207"/>
      <c r="G124" s="113">
        <f t="shared" ref="G124:T124" si="35">G125</f>
        <v>352</v>
      </c>
      <c r="H124" s="113">
        <f t="shared" si="35"/>
        <v>0</v>
      </c>
      <c r="I124" s="113">
        <f t="shared" si="35"/>
        <v>0</v>
      </c>
      <c r="J124" s="113">
        <f t="shared" si="35"/>
        <v>0</v>
      </c>
      <c r="K124" s="113">
        <f t="shared" si="35"/>
        <v>0</v>
      </c>
      <c r="L124" s="113">
        <f t="shared" si="35"/>
        <v>0</v>
      </c>
      <c r="M124" s="113">
        <f t="shared" si="35"/>
        <v>0</v>
      </c>
      <c r="N124" s="113">
        <f t="shared" si="35"/>
        <v>0</v>
      </c>
      <c r="O124" s="113">
        <f t="shared" si="35"/>
        <v>0</v>
      </c>
      <c r="P124" s="114">
        <f t="shared" si="35"/>
        <v>0</v>
      </c>
      <c r="Q124" s="114">
        <f t="shared" si="35"/>
        <v>0</v>
      </c>
      <c r="R124" s="115"/>
      <c r="S124" s="115"/>
      <c r="T124" s="116">
        <f t="shared" si="35"/>
        <v>352</v>
      </c>
    </row>
    <row r="125" spans="1:20" ht="33.75">
      <c r="A125" s="214" t="s">
        <v>215</v>
      </c>
      <c r="B125" s="211" t="s">
        <v>134</v>
      </c>
      <c r="C125" s="211" t="s">
        <v>145</v>
      </c>
      <c r="D125" s="211" t="s">
        <v>159</v>
      </c>
      <c r="E125" s="211" t="s">
        <v>222</v>
      </c>
      <c r="F125" s="212" t="s">
        <v>216</v>
      </c>
      <c r="G125" s="117">
        <v>352</v>
      </c>
      <c r="H125" s="121"/>
      <c r="I125" s="121"/>
      <c r="J125" s="121"/>
      <c r="K125" s="121"/>
      <c r="L125" s="121"/>
      <c r="M125" s="121"/>
      <c r="N125" s="121"/>
      <c r="O125" s="121"/>
      <c r="P125" s="122"/>
      <c r="Q125" s="122"/>
      <c r="R125" s="123"/>
      <c r="S125" s="123"/>
      <c r="T125" s="124">
        <v>352</v>
      </c>
    </row>
    <row r="126" spans="1:20" s="7" customFormat="1">
      <c r="A126" s="216" t="s">
        <v>223</v>
      </c>
      <c r="B126" s="209" t="s">
        <v>134</v>
      </c>
      <c r="C126" s="209" t="s">
        <v>145</v>
      </c>
      <c r="D126" s="209" t="s">
        <v>159</v>
      </c>
      <c r="E126" s="209" t="s">
        <v>224</v>
      </c>
      <c r="F126" s="207"/>
      <c r="G126" s="113">
        <f t="shared" ref="G126:T126" si="36">G127</f>
        <v>594</v>
      </c>
      <c r="H126" s="113">
        <f t="shared" si="36"/>
        <v>0</v>
      </c>
      <c r="I126" s="113">
        <f t="shared" si="36"/>
        <v>0</v>
      </c>
      <c r="J126" s="113">
        <f t="shared" si="36"/>
        <v>0</v>
      </c>
      <c r="K126" s="113">
        <f t="shared" si="36"/>
        <v>0</v>
      </c>
      <c r="L126" s="113">
        <f t="shared" si="36"/>
        <v>0</v>
      </c>
      <c r="M126" s="113">
        <f t="shared" si="36"/>
        <v>0</v>
      </c>
      <c r="N126" s="113">
        <f t="shared" si="36"/>
        <v>0</v>
      </c>
      <c r="O126" s="113">
        <f t="shared" si="36"/>
        <v>0</v>
      </c>
      <c r="P126" s="114">
        <f t="shared" si="36"/>
        <v>0</v>
      </c>
      <c r="Q126" s="114">
        <f t="shared" si="36"/>
        <v>0</v>
      </c>
      <c r="R126" s="115"/>
      <c r="S126" s="115"/>
      <c r="T126" s="116">
        <f t="shared" si="36"/>
        <v>593.99800000000005</v>
      </c>
    </row>
    <row r="127" spans="1:20" ht="33.75">
      <c r="A127" s="214" t="s">
        <v>215</v>
      </c>
      <c r="B127" s="211" t="s">
        <v>134</v>
      </c>
      <c r="C127" s="211" t="s">
        <v>145</v>
      </c>
      <c r="D127" s="211" t="s">
        <v>159</v>
      </c>
      <c r="E127" s="211" t="s">
        <v>224</v>
      </c>
      <c r="F127" s="212" t="s">
        <v>216</v>
      </c>
      <c r="G127" s="117">
        <v>594</v>
      </c>
      <c r="H127" s="121"/>
      <c r="I127" s="121"/>
      <c r="J127" s="121"/>
      <c r="K127" s="121"/>
      <c r="L127" s="121"/>
      <c r="M127" s="121"/>
      <c r="N127" s="121"/>
      <c r="O127" s="121"/>
      <c r="P127" s="122"/>
      <c r="Q127" s="122"/>
      <c r="R127" s="123"/>
      <c r="S127" s="123"/>
      <c r="T127" s="124">
        <v>593.99800000000005</v>
      </c>
    </row>
    <row r="128" spans="1:20" s="7" customFormat="1">
      <c r="A128" s="216" t="s">
        <v>225</v>
      </c>
      <c r="B128" s="209" t="s">
        <v>134</v>
      </c>
      <c r="C128" s="209" t="s">
        <v>145</v>
      </c>
      <c r="D128" s="209" t="s">
        <v>159</v>
      </c>
      <c r="E128" s="209" t="s">
        <v>570</v>
      </c>
      <c r="F128" s="207"/>
      <c r="G128" s="113">
        <f t="shared" ref="G128:T128" si="37">G129</f>
        <v>25642</v>
      </c>
      <c r="H128" s="113">
        <f t="shared" si="37"/>
        <v>0</v>
      </c>
      <c r="I128" s="113">
        <f t="shared" si="37"/>
        <v>0</v>
      </c>
      <c r="J128" s="113">
        <f t="shared" si="37"/>
        <v>0</v>
      </c>
      <c r="K128" s="113">
        <f t="shared" si="37"/>
        <v>0</v>
      </c>
      <c r="L128" s="113">
        <f t="shared" si="37"/>
        <v>0</v>
      </c>
      <c r="M128" s="113">
        <f t="shared" si="37"/>
        <v>0</v>
      </c>
      <c r="N128" s="113">
        <f t="shared" si="37"/>
        <v>0</v>
      </c>
      <c r="O128" s="113">
        <f t="shared" si="37"/>
        <v>0</v>
      </c>
      <c r="P128" s="114">
        <f t="shared" si="37"/>
        <v>0</v>
      </c>
      <c r="Q128" s="114">
        <f t="shared" si="37"/>
        <v>0</v>
      </c>
      <c r="R128" s="115"/>
      <c r="S128" s="115"/>
      <c r="T128" s="116">
        <f t="shared" si="37"/>
        <v>25640.045440000002</v>
      </c>
    </row>
    <row r="129" spans="1:21" ht="33.75">
      <c r="A129" s="214" t="s">
        <v>215</v>
      </c>
      <c r="B129" s="211" t="s">
        <v>134</v>
      </c>
      <c r="C129" s="211" t="s">
        <v>145</v>
      </c>
      <c r="D129" s="211" t="s">
        <v>159</v>
      </c>
      <c r="E129" s="211" t="s">
        <v>226</v>
      </c>
      <c r="F129" s="212" t="s">
        <v>216</v>
      </c>
      <c r="G129" s="117">
        <v>25642</v>
      </c>
      <c r="H129" s="117"/>
      <c r="I129" s="117"/>
      <c r="J129" s="117"/>
      <c r="K129" s="117"/>
      <c r="L129" s="117"/>
      <c r="M129" s="117"/>
      <c r="N129" s="117"/>
      <c r="O129" s="117"/>
      <c r="P129" s="118"/>
      <c r="Q129" s="118"/>
      <c r="R129" s="119"/>
      <c r="S129" s="119"/>
      <c r="T129" s="120">
        <v>25640.045440000002</v>
      </c>
    </row>
    <row r="130" spans="1:21" s="9" customFormat="1">
      <c r="A130" s="214" t="s">
        <v>227</v>
      </c>
      <c r="B130" s="211" t="s">
        <v>134</v>
      </c>
      <c r="C130" s="211" t="s">
        <v>145</v>
      </c>
      <c r="D130" s="211" t="s">
        <v>159</v>
      </c>
      <c r="E130" s="211" t="s">
        <v>228</v>
      </c>
      <c r="F130" s="212"/>
      <c r="G130" s="117">
        <f>G131</f>
        <v>1823</v>
      </c>
      <c r="H130" s="117">
        <f>H131</f>
        <v>0</v>
      </c>
      <c r="I130" s="117">
        <f>I131</f>
        <v>0</v>
      </c>
      <c r="J130" s="117"/>
      <c r="K130" s="117"/>
      <c r="L130" s="117"/>
      <c r="M130" s="117"/>
      <c r="N130" s="117"/>
      <c r="O130" s="117"/>
      <c r="P130" s="118"/>
      <c r="Q130" s="118"/>
      <c r="R130" s="119"/>
      <c r="S130" s="119"/>
      <c r="T130" s="120">
        <f>T131</f>
        <v>1822.8198400000001</v>
      </c>
    </row>
    <row r="131" spans="1:21" ht="33.75">
      <c r="A131" s="214" t="s">
        <v>215</v>
      </c>
      <c r="B131" s="211" t="s">
        <v>134</v>
      </c>
      <c r="C131" s="211" t="s">
        <v>145</v>
      </c>
      <c r="D131" s="211" t="s">
        <v>159</v>
      </c>
      <c r="E131" s="211" t="s">
        <v>228</v>
      </c>
      <c r="F131" s="212" t="s">
        <v>216</v>
      </c>
      <c r="G131" s="117">
        <v>1823</v>
      </c>
      <c r="H131" s="121"/>
      <c r="I131" s="121"/>
      <c r="J131" s="121"/>
      <c r="K131" s="121"/>
      <c r="L131" s="121"/>
      <c r="M131" s="121"/>
      <c r="N131" s="121"/>
      <c r="O131" s="121"/>
      <c r="P131" s="122"/>
      <c r="Q131" s="122"/>
      <c r="R131" s="123"/>
      <c r="S131" s="123"/>
      <c r="T131" s="124">
        <v>1822.8198400000001</v>
      </c>
    </row>
    <row r="132" spans="1:21" s="7" customFormat="1" ht="22.5">
      <c r="A132" s="221" t="s">
        <v>229</v>
      </c>
      <c r="B132" s="209" t="s">
        <v>134</v>
      </c>
      <c r="C132" s="209" t="s">
        <v>145</v>
      </c>
      <c r="D132" s="209" t="s">
        <v>159</v>
      </c>
      <c r="E132" s="209" t="s">
        <v>230</v>
      </c>
      <c r="F132" s="207"/>
      <c r="G132" s="113">
        <f t="shared" ref="G132:T132" si="38">G133</f>
        <v>70</v>
      </c>
      <c r="H132" s="113">
        <f t="shared" si="38"/>
        <v>0</v>
      </c>
      <c r="I132" s="113">
        <f t="shared" si="38"/>
        <v>0</v>
      </c>
      <c r="J132" s="113">
        <f t="shared" si="38"/>
        <v>0</v>
      </c>
      <c r="K132" s="113">
        <f t="shared" si="38"/>
        <v>0</v>
      </c>
      <c r="L132" s="113">
        <f t="shared" si="38"/>
        <v>0</v>
      </c>
      <c r="M132" s="113">
        <f t="shared" si="38"/>
        <v>0</v>
      </c>
      <c r="N132" s="113">
        <f t="shared" si="38"/>
        <v>0</v>
      </c>
      <c r="O132" s="113">
        <f t="shared" si="38"/>
        <v>0</v>
      </c>
      <c r="P132" s="114">
        <f t="shared" si="38"/>
        <v>0</v>
      </c>
      <c r="Q132" s="114">
        <f t="shared" si="38"/>
        <v>0</v>
      </c>
      <c r="R132" s="115"/>
      <c r="S132" s="115"/>
      <c r="T132" s="116">
        <f t="shared" si="38"/>
        <v>66.459000000000003</v>
      </c>
    </row>
    <row r="133" spans="1:21" ht="33.75">
      <c r="A133" s="214" t="s">
        <v>215</v>
      </c>
      <c r="B133" s="211" t="s">
        <v>134</v>
      </c>
      <c r="C133" s="211" t="s">
        <v>145</v>
      </c>
      <c r="D133" s="211" t="s">
        <v>159</v>
      </c>
      <c r="E133" s="211" t="s">
        <v>230</v>
      </c>
      <c r="F133" s="212" t="s">
        <v>216</v>
      </c>
      <c r="G133" s="117">
        <v>70</v>
      </c>
      <c r="H133" s="121"/>
      <c r="I133" s="121"/>
      <c r="J133" s="121"/>
      <c r="K133" s="121"/>
      <c r="L133" s="121"/>
      <c r="M133" s="121"/>
      <c r="N133" s="121"/>
      <c r="O133" s="121"/>
      <c r="P133" s="122"/>
      <c r="Q133" s="122"/>
      <c r="R133" s="123"/>
      <c r="S133" s="123"/>
      <c r="T133" s="124">
        <v>66.459000000000003</v>
      </c>
    </row>
    <row r="134" spans="1:21" ht="33.75">
      <c r="A134" s="208" t="s">
        <v>210</v>
      </c>
      <c r="B134" s="209" t="s">
        <v>134</v>
      </c>
      <c r="C134" s="209" t="s">
        <v>145</v>
      </c>
      <c r="D134" s="209" t="s">
        <v>159</v>
      </c>
      <c r="E134" s="209" t="s">
        <v>211</v>
      </c>
      <c r="F134" s="207"/>
      <c r="G134" s="113"/>
      <c r="H134" s="125"/>
      <c r="I134" s="125"/>
      <c r="J134" s="125"/>
      <c r="K134" s="125"/>
      <c r="L134" s="125"/>
      <c r="M134" s="125"/>
      <c r="N134" s="125"/>
      <c r="O134" s="125"/>
      <c r="P134" s="126">
        <f>P135</f>
        <v>51.3</v>
      </c>
      <c r="Q134" s="126">
        <f>Q135</f>
        <v>0</v>
      </c>
      <c r="R134" s="125"/>
      <c r="S134" s="125"/>
      <c r="T134" s="126">
        <f>T135</f>
        <v>51.3</v>
      </c>
    </row>
    <row r="135" spans="1:21">
      <c r="A135" s="214" t="s">
        <v>151</v>
      </c>
      <c r="B135" s="211" t="s">
        <v>134</v>
      </c>
      <c r="C135" s="211" t="s">
        <v>145</v>
      </c>
      <c r="D135" s="211" t="s">
        <v>159</v>
      </c>
      <c r="E135" s="211" t="s">
        <v>211</v>
      </c>
      <c r="F135" s="212" t="s">
        <v>152</v>
      </c>
      <c r="G135" s="117"/>
      <c r="H135" s="121"/>
      <c r="I135" s="121"/>
      <c r="J135" s="121"/>
      <c r="K135" s="121"/>
      <c r="L135" s="121"/>
      <c r="M135" s="121"/>
      <c r="N135" s="121"/>
      <c r="O135" s="121"/>
      <c r="P135" s="122">
        <v>51.3</v>
      </c>
      <c r="Q135" s="122"/>
      <c r="R135" s="123"/>
      <c r="S135" s="123"/>
      <c r="T135" s="124">
        <v>51.3</v>
      </c>
    </row>
    <row r="136" spans="1:21" s="7" customFormat="1" ht="33.75">
      <c r="A136" s="221" t="s">
        <v>231</v>
      </c>
      <c r="B136" s="209" t="s">
        <v>134</v>
      </c>
      <c r="C136" s="209" t="s">
        <v>145</v>
      </c>
      <c r="D136" s="209" t="s">
        <v>159</v>
      </c>
      <c r="E136" s="209" t="s">
        <v>232</v>
      </c>
      <c r="F136" s="207"/>
      <c r="G136" s="113">
        <f>G137+G138+G140</f>
        <v>1013</v>
      </c>
      <c r="H136" s="113">
        <f>H137+H138+H140</f>
        <v>0</v>
      </c>
      <c r="I136" s="113">
        <f>I137+I138+I140</f>
        <v>0</v>
      </c>
      <c r="J136" s="113">
        <f>J137+J138+J140</f>
        <v>0</v>
      </c>
      <c r="K136" s="113">
        <f>K137+K138+K140+K139</f>
        <v>0</v>
      </c>
      <c r="L136" s="113">
        <f>L137+L138+L140+L139</f>
        <v>0</v>
      </c>
      <c r="M136" s="113">
        <f>M137+M138+M140+M139</f>
        <v>0</v>
      </c>
      <c r="N136" s="113">
        <f t="shared" ref="N136:S136" si="39">N137+N138+N140+N139</f>
        <v>0</v>
      </c>
      <c r="O136" s="113">
        <f t="shared" si="39"/>
        <v>0</v>
      </c>
      <c r="P136" s="114">
        <f t="shared" si="39"/>
        <v>0</v>
      </c>
      <c r="Q136" s="114">
        <f t="shared" si="39"/>
        <v>0</v>
      </c>
      <c r="R136" s="113">
        <f t="shared" si="39"/>
        <v>0</v>
      </c>
      <c r="S136" s="113">
        <f t="shared" si="39"/>
        <v>0</v>
      </c>
      <c r="T136" s="116">
        <f>T137+T138+T140+T139</f>
        <v>1052.422</v>
      </c>
      <c r="U136" s="137"/>
    </row>
    <row r="137" spans="1:21">
      <c r="A137" s="213" t="s">
        <v>139</v>
      </c>
      <c r="B137" s="211" t="s">
        <v>134</v>
      </c>
      <c r="C137" s="211" t="s">
        <v>145</v>
      </c>
      <c r="D137" s="211" t="s">
        <v>159</v>
      </c>
      <c r="E137" s="211" t="s">
        <v>232</v>
      </c>
      <c r="F137" s="212" t="s">
        <v>141</v>
      </c>
      <c r="G137" s="117">
        <f>607.1+183.3</f>
        <v>790.40000000000009</v>
      </c>
      <c r="H137" s="121"/>
      <c r="I137" s="121"/>
      <c r="J137" s="121"/>
      <c r="K137" s="121"/>
      <c r="L137" s="121"/>
      <c r="M137" s="121"/>
      <c r="N137" s="121"/>
      <c r="O137" s="121"/>
      <c r="P137" s="122"/>
      <c r="Q137" s="122"/>
      <c r="R137" s="123"/>
      <c r="S137" s="123"/>
      <c r="T137" s="124">
        <v>829.822</v>
      </c>
    </row>
    <row r="138" spans="1:21">
      <c r="A138" s="214" t="s">
        <v>142</v>
      </c>
      <c r="B138" s="211" t="s">
        <v>134</v>
      </c>
      <c r="C138" s="211" t="s">
        <v>145</v>
      </c>
      <c r="D138" s="211" t="s">
        <v>159</v>
      </c>
      <c r="E138" s="211" t="s">
        <v>232</v>
      </c>
      <c r="F138" s="212" t="s">
        <v>143</v>
      </c>
      <c r="G138" s="117">
        <v>37.4</v>
      </c>
      <c r="H138" s="121"/>
      <c r="I138" s="121"/>
      <c r="J138" s="121"/>
      <c r="K138" s="121"/>
      <c r="L138" s="121"/>
      <c r="M138" s="121"/>
      <c r="N138" s="121"/>
      <c r="O138" s="121"/>
      <c r="P138" s="122"/>
      <c r="Q138" s="122">
        <v>-10</v>
      </c>
      <c r="R138" s="123"/>
      <c r="S138" s="123">
        <v>7.4737</v>
      </c>
      <c r="T138" s="124">
        <v>34.873699999999999</v>
      </c>
    </row>
    <row r="139" spans="1:21" ht="22.5">
      <c r="A139" s="214" t="s">
        <v>149</v>
      </c>
      <c r="B139" s="211" t="s">
        <v>134</v>
      </c>
      <c r="C139" s="211" t="s">
        <v>145</v>
      </c>
      <c r="D139" s="211" t="s">
        <v>159</v>
      </c>
      <c r="E139" s="211" t="s">
        <v>232</v>
      </c>
      <c r="F139" s="212" t="s">
        <v>150</v>
      </c>
      <c r="G139" s="117"/>
      <c r="H139" s="121"/>
      <c r="I139" s="121"/>
      <c r="J139" s="121"/>
      <c r="K139" s="121">
        <v>25.48</v>
      </c>
      <c r="L139" s="121"/>
      <c r="M139" s="121"/>
      <c r="N139" s="121"/>
      <c r="O139" s="121"/>
      <c r="P139" s="122"/>
      <c r="Q139" s="122">
        <v>20</v>
      </c>
      <c r="R139" s="123"/>
      <c r="S139" s="123">
        <v>-4.22</v>
      </c>
      <c r="T139" s="124">
        <v>41.26</v>
      </c>
    </row>
    <row r="140" spans="1:21">
      <c r="A140" s="214" t="s">
        <v>151</v>
      </c>
      <c r="B140" s="211" t="s">
        <v>134</v>
      </c>
      <c r="C140" s="211" t="s">
        <v>145</v>
      </c>
      <c r="D140" s="211" t="s">
        <v>159</v>
      </c>
      <c r="E140" s="211" t="s">
        <v>232</v>
      </c>
      <c r="F140" s="212" t="s">
        <v>152</v>
      </c>
      <c r="G140" s="117">
        <v>185.2</v>
      </c>
      <c r="H140" s="121"/>
      <c r="I140" s="121"/>
      <c r="J140" s="121"/>
      <c r="K140" s="121">
        <v>-25.48</v>
      </c>
      <c r="L140" s="121"/>
      <c r="M140" s="121"/>
      <c r="N140" s="121"/>
      <c r="O140" s="121"/>
      <c r="P140" s="122"/>
      <c r="Q140" s="122">
        <f>-20+10</f>
        <v>-10</v>
      </c>
      <c r="R140" s="123"/>
      <c r="S140" s="123">
        <v>-3.2536999999999998</v>
      </c>
      <c r="T140" s="124">
        <v>146.46629999999999</v>
      </c>
    </row>
    <row r="141" spans="1:21" s="7" customFormat="1" ht="33.75">
      <c r="A141" s="221" t="s">
        <v>233</v>
      </c>
      <c r="B141" s="209" t="s">
        <v>134</v>
      </c>
      <c r="C141" s="209" t="s">
        <v>145</v>
      </c>
      <c r="D141" s="209" t="s">
        <v>159</v>
      </c>
      <c r="E141" s="209" t="s">
        <v>234</v>
      </c>
      <c r="F141" s="207"/>
      <c r="G141" s="113">
        <f t="shared" ref="G141:Q141" si="40">G142+G143+G145</f>
        <v>2926</v>
      </c>
      <c r="H141" s="113">
        <f t="shared" si="40"/>
        <v>0</v>
      </c>
      <c r="I141" s="113">
        <f t="shared" si="40"/>
        <v>0</v>
      </c>
      <c r="J141" s="113">
        <f t="shared" si="40"/>
        <v>0</v>
      </c>
      <c r="K141" s="113">
        <f t="shared" si="40"/>
        <v>0</v>
      </c>
      <c r="L141" s="113">
        <f t="shared" si="40"/>
        <v>0</v>
      </c>
      <c r="M141" s="113">
        <f t="shared" si="40"/>
        <v>0</v>
      </c>
      <c r="N141" s="113">
        <f t="shared" si="40"/>
        <v>0</v>
      </c>
      <c r="O141" s="113">
        <f t="shared" si="40"/>
        <v>0</v>
      </c>
      <c r="P141" s="114">
        <f t="shared" si="40"/>
        <v>0</v>
      </c>
      <c r="Q141" s="114">
        <f t="shared" si="40"/>
        <v>0</v>
      </c>
      <c r="R141" s="115">
        <f>R142+R143+R144+R145</f>
        <v>666.4</v>
      </c>
      <c r="S141" s="115">
        <f>S142+S143+S144+S145</f>
        <v>0</v>
      </c>
      <c r="T141" s="116">
        <f>T142+T143+T145+T144</f>
        <v>3071.6499999999996</v>
      </c>
    </row>
    <row r="142" spans="1:21">
      <c r="A142" s="213" t="s">
        <v>139</v>
      </c>
      <c r="B142" s="211" t="s">
        <v>134</v>
      </c>
      <c r="C142" s="211" t="s">
        <v>145</v>
      </c>
      <c r="D142" s="211" t="s">
        <v>159</v>
      </c>
      <c r="E142" s="211" t="s">
        <v>234</v>
      </c>
      <c r="F142" s="212" t="s">
        <v>185</v>
      </c>
      <c r="G142" s="117">
        <f>2170.3+655.4</f>
        <v>2825.7000000000003</v>
      </c>
      <c r="H142" s="121"/>
      <c r="I142" s="121"/>
      <c r="J142" s="121"/>
      <c r="K142" s="121"/>
      <c r="L142" s="121"/>
      <c r="M142" s="121"/>
      <c r="N142" s="121"/>
      <c r="O142" s="121"/>
      <c r="P142" s="122"/>
      <c r="Q142" s="122"/>
      <c r="R142" s="123">
        <v>78.400000000000006</v>
      </c>
      <c r="S142" s="123"/>
      <c r="T142" s="124">
        <v>2904.1</v>
      </c>
    </row>
    <row r="143" spans="1:21">
      <c r="A143" s="214" t="s">
        <v>142</v>
      </c>
      <c r="B143" s="211" t="s">
        <v>134</v>
      </c>
      <c r="C143" s="211" t="s">
        <v>145</v>
      </c>
      <c r="D143" s="211" t="s">
        <v>159</v>
      </c>
      <c r="E143" s="211" t="s">
        <v>234</v>
      </c>
      <c r="F143" s="212" t="s">
        <v>235</v>
      </c>
      <c r="G143" s="117">
        <v>8.1</v>
      </c>
      <c r="H143" s="121"/>
      <c r="I143" s="121"/>
      <c r="J143" s="121"/>
      <c r="K143" s="121"/>
      <c r="L143" s="121"/>
      <c r="M143" s="121"/>
      <c r="N143" s="121"/>
      <c r="O143" s="121">
        <v>-3.5</v>
      </c>
      <c r="P143" s="122"/>
      <c r="Q143" s="122"/>
      <c r="R143" s="123">
        <v>27</v>
      </c>
      <c r="S143" s="123">
        <v>5.1559999999999997</v>
      </c>
      <c r="T143" s="124">
        <v>36.756</v>
      </c>
    </row>
    <row r="144" spans="1:21" ht="22.5">
      <c r="A144" s="214" t="s">
        <v>149</v>
      </c>
      <c r="B144" s="211" t="s">
        <v>134</v>
      </c>
      <c r="C144" s="211" t="s">
        <v>145</v>
      </c>
      <c r="D144" s="211" t="s">
        <v>159</v>
      </c>
      <c r="E144" s="211" t="s">
        <v>234</v>
      </c>
      <c r="F144" s="212" t="s">
        <v>150</v>
      </c>
      <c r="G144" s="117"/>
      <c r="H144" s="121"/>
      <c r="I144" s="121"/>
      <c r="J144" s="121"/>
      <c r="K144" s="121"/>
      <c r="L144" s="121"/>
      <c r="M144" s="121"/>
      <c r="N144" s="121"/>
      <c r="O144" s="121"/>
      <c r="P144" s="122"/>
      <c r="Q144" s="122"/>
      <c r="R144" s="123">
        <v>15</v>
      </c>
      <c r="S144" s="123">
        <v>-10.78</v>
      </c>
      <c r="T144" s="124">
        <v>4.22</v>
      </c>
    </row>
    <row r="145" spans="1:23">
      <c r="A145" s="214" t="s">
        <v>151</v>
      </c>
      <c r="B145" s="211" t="s">
        <v>134</v>
      </c>
      <c r="C145" s="211" t="s">
        <v>145</v>
      </c>
      <c r="D145" s="211" t="s">
        <v>159</v>
      </c>
      <c r="E145" s="211" t="s">
        <v>234</v>
      </c>
      <c r="F145" s="212" t="s">
        <v>152</v>
      </c>
      <c r="G145" s="117">
        <f>17.9+11.8+26.4+11.4+24.7</f>
        <v>92.2</v>
      </c>
      <c r="H145" s="121"/>
      <c r="I145" s="121"/>
      <c r="J145" s="121"/>
      <c r="K145" s="121"/>
      <c r="L145" s="121"/>
      <c r="M145" s="121"/>
      <c r="N145" s="121"/>
      <c r="O145" s="121">
        <v>3.5</v>
      </c>
      <c r="P145" s="122"/>
      <c r="Q145" s="122"/>
      <c r="R145" s="123">
        <f>38+508</f>
        <v>546</v>
      </c>
      <c r="S145" s="123">
        <v>5.6239999999999997</v>
      </c>
      <c r="T145" s="124">
        <v>126.574</v>
      </c>
    </row>
    <row r="146" spans="1:23" s="6" customFormat="1">
      <c r="A146" s="216" t="s">
        <v>190</v>
      </c>
      <c r="B146" s="209" t="s">
        <v>134</v>
      </c>
      <c r="C146" s="209" t="s">
        <v>145</v>
      </c>
      <c r="D146" s="209" t="s">
        <v>159</v>
      </c>
      <c r="E146" s="209" t="s">
        <v>191</v>
      </c>
      <c r="F146" s="207"/>
      <c r="G146" s="113">
        <f>G147</f>
        <v>300</v>
      </c>
      <c r="H146" s="113">
        <f>H147</f>
        <v>0</v>
      </c>
      <c r="I146" s="113">
        <f>I147</f>
        <v>0</v>
      </c>
      <c r="J146" s="113"/>
      <c r="K146" s="113"/>
      <c r="L146" s="113"/>
      <c r="M146" s="113"/>
      <c r="N146" s="113"/>
      <c r="O146" s="113">
        <f>O147</f>
        <v>0</v>
      </c>
      <c r="P146" s="114"/>
      <c r="Q146" s="114"/>
      <c r="R146" s="115"/>
      <c r="S146" s="115"/>
      <c r="T146" s="116">
        <f>T147</f>
        <v>300</v>
      </c>
    </row>
    <row r="147" spans="1:23" ht="33.75">
      <c r="A147" s="214" t="s">
        <v>215</v>
      </c>
      <c r="B147" s="211" t="s">
        <v>134</v>
      </c>
      <c r="C147" s="211" t="s">
        <v>145</v>
      </c>
      <c r="D147" s="211" t="s">
        <v>159</v>
      </c>
      <c r="E147" s="211" t="s">
        <v>191</v>
      </c>
      <c r="F147" s="212" t="s">
        <v>216</v>
      </c>
      <c r="G147" s="117">
        <v>300</v>
      </c>
      <c r="H147" s="121"/>
      <c r="I147" s="121"/>
      <c r="J147" s="121"/>
      <c r="K147" s="121"/>
      <c r="L147" s="121"/>
      <c r="M147" s="121"/>
      <c r="N147" s="121"/>
      <c r="O147" s="121"/>
      <c r="P147" s="122"/>
      <c r="Q147" s="122"/>
      <c r="R147" s="123"/>
      <c r="S147" s="123"/>
      <c r="T147" s="124">
        <v>300</v>
      </c>
      <c r="W147" s="8"/>
    </row>
    <row r="148" spans="1:23">
      <c r="A148" s="224" t="s">
        <v>236</v>
      </c>
      <c r="B148" s="209"/>
      <c r="C148" s="209" t="s">
        <v>145</v>
      </c>
      <c r="D148" s="209" t="s">
        <v>237</v>
      </c>
      <c r="E148" s="209"/>
      <c r="F148" s="207"/>
      <c r="G148" s="113">
        <f>G149+G153</f>
        <v>14000</v>
      </c>
      <c r="H148" s="113">
        <f t="shared" ref="H148:T148" si="41">H149+H153</f>
        <v>0</v>
      </c>
      <c r="I148" s="113">
        <f t="shared" si="41"/>
        <v>0</v>
      </c>
      <c r="J148" s="113">
        <f t="shared" si="41"/>
        <v>0</v>
      </c>
      <c r="K148" s="113">
        <f t="shared" si="41"/>
        <v>0</v>
      </c>
      <c r="L148" s="113">
        <f t="shared" si="41"/>
        <v>365.48164000000003</v>
      </c>
      <c r="M148" s="113">
        <f t="shared" si="41"/>
        <v>389</v>
      </c>
      <c r="N148" s="113">
        <f t="shared" si="41"/>
        <v>0</v>
      </c>
      <c r="O148" s="113">
        <f t="shared" si="41"/>
        <v>3056.4</v>
      </c>
      <c r="P148" s="114">
        <f t="shared" si="41"/>
        <v>0</v>
      </c>
      <c r="Q148" s="114">
        <f t="shared" si="41"/>
        <v>0</v>
      </c>
      <c r="R148" s="115"/>
      <c r="S148" s="115"/>
      <c r="T148" s="116">
        <f t="shared" si="41"/>
        <v>17810.881640000003</v>
      </c>
    </row>
    <row r="149" spans="1:23">
      <c r="A149" s="224" t="s">
        <v>238</v>
      </c>
      <c r="B149" s="211" t="s">
        <v>134</v>
      </c>
      <c r="C149" s="211" t="s">
        <v>145</v>
      </c>
      <c r="D149" s="211" t="s">
        <v>237</v>
      </c>
      <c r="E149" s="211" t="s">
        <v>239</v>
      </c>
      <c r="F149" s="212"/>
      <c r="G149" s="117">
        <f t="shared" ref="G149:T149" si="42">G151+G150</f>
        <v>14000</v>
      </c>
      <c r="H149" s="117">
        <f t="shared" si="42"/>
        <v>0</v>
      </c>
      <c r="I149" s="117">
        <f t="shared" si="42"/>
        <v>0</v>
      </c>
      <c r="J149" s="117">
        <f t="shared" si="42"/>
        <v>0</v>
      </c>
      <c r="K149" s="117">
        <f t="shared" si="42"/>
        <v>0</v>
      </c>
      <c r="L149" s="117">
        <f t="shared" si="42"/>
        <v>0</v>
      </c>
      <c r="M149" s="117">
        <f t="shared" si="42"/>
        <v>389</v>
      </c>
      <c r="N149" s="117"/>
      <c r="O149" s="117">
        <f>O150+O151</f>
        <v>3056.4</v>
      </c>
      <c r="P149" s="118"/>
      <c r="Q149" s="118"/>
      <c r="R149" s="119"/>
      <c r="S149" s="119"/>
      <c r="T149" s="120">
        <f t="shared" si="42"/>
        <v>17445.400000000001</v>
      </c>
    </row>
    <row r="150" spans="1:23" ht="33.75">
      <c r="A150" s="224" t="s">
        <v>240</v>
      </c>
      <c r="B150" s="211" t="s">
        <v>134</v>
      </c>
      <c r="C150" s="211" t="s">
        <v>145</v>
      </c>
      <c r="D150" s="211" t="s">
        <v>237</v>
      </c>
      <c r="E150" s="211" t="s">
        <v>239</v>
      </c>
      <c r="F150" s="212" t="s">
        <v>241</v>
      </c>
      <c r="G150" s="117">
        <v>4000</v>
      </c>
      <c r="H150" s="121"/>
      <c r="I150" s="121"/>
      <c r="J150" s="121"/>
      <c r="K150" s="121"/>
      <c r="L150" s="121"/>
      <c r="M150" s="121">
        <v>389</v>
      </c>
      <c r="N150" s="121"/>
      <c r="O150" s="121">
        <v>3056.4</v>
      </c>
      <c r="P150" s="122"/>
      <c r="Q150" s="122"/>
      <c r="R150" s="123"/>
      <c r="S150" s="123"/>
      <c r="T150" s="124">
        <v>7445.4</v>
      </c>
    </row>
    <row r="151" spans="1:23" ht="33.75">
      <c r="A151" s="217" t="s">
        <v>215</v>
      </c>
      <c r="B151" s="211" t="s">
        <v>134</v>
      </c>
      <c r="C151" s="211" t="s">
        <v>145</v>
      </c>
      <c r="D151" s="211" t="s">
        <v>237</v>
      </c>
      <c r="E151" s="211" t="s">
        <v>239</v>
      </c>
      <c r="F151" s="212" t="s">
        <v>216</v>
      </c>
      <c r="G151" s="117">
        <v>10000</v>
      </c>
      <c r="H151" s="121"/>
      <c r="I151" s="121"/>
      <c r="J151" s="121"/>
      <c r="K151" s="121"/>
      <c r="L151" s="121"/>
      <c r="M151" s="121"/>
      <c r="N151" s="121"/>
      <c r="O151" s="121"/>
      <c r="P151" s="122"/>
      <c r="Q151" s="122"/>
      <c r="R151" s="123"/>
      <c r="S151" s="123"/>
      <c r="T151" s="124">
        <v>10000</v>
      </c>
    </row>
    <row r="152" spans="1:23">
      <c r="A152" s="230" t="s">
        <v>439</v>
      </c>
      <c r="B152" s="211" t="s">
        <v>134</v>
      </c>
      <c r="C152" s="211" t="s">
        <v>145</v>
      </c>
      <c r="D152" s="211" t="s">
        <v>237</v>
      </c>
      <c r="E152" s="211" t="s">
        <v>438</v>
      </c>
      <c r="F152" s="212"/>
      <c r="G152" s="117"/>
      <c r="H152" s="121"/>
      <c r="I152" s="121"/>
      <c r="J152" s="121"/>
      <c r="K152" s="121"/>
      <c r="L152" s="121">
        <f>L153</f>
        <v>365.48164000000003</v>
      </c>
      <c r="M152" s="121">
        <f>M153</f>
        <v>0</v>
      </c>
      <c r="N152" s="121"/>
      <c r="O152" s="121"/>
      <c r="P152" s="122"/>
      <c r="Q152" s="122"/>
      <c r="R152" s="123"/>
      <c r="S152" s="123"/>
      <c r="T152" s="124">
        <f>T153</f>
        <v>365.48164000000003</v>
      </c>
    </row>
    <row r="153" spans="1:23" ht="33.75">
      <c r="A153" s="227" t="s">
        <v>571</v>
      </c>
      <c r="B153" s="211" t="s">
        <v>134</v>
      </c>
      <c r="C153" s="211" t="s">
        <v>145</v>
      </c>
      <c r="D153" s="211" t="s">
        <v>237</v>
      </c>
      <c r="E153" s="211" t="s">
        <v>438</v>
      </c>
      <c r="F153" s="212" t="s">
        <v>256</v>
      </c>
      <c r="G153" s="117"/>
      <c r="H153" s="121"/>
      <c r="I153" s="121"/>
      <c r="J153" s="121"/>
      <c r="K153" s="121"/>
      <c r="L153" s="121">
        <v>365.48164000000003</v>
      </c>
      <c r="M153" s="121"/>
      <c r="N153" s="121"/>
      <c r="O153" s="121"/>
      <c r="P153" s="122"/>
      <c r="Q153" s="122"/>
      <c r="R153" s="123"/>
      <c r="S153" s="123"/>
      <c r="T153" s="124">
        <v>365.48164000000003</v>
      </c>
    </row>
    <row r="154" spans="1:23">
      <c r="A154" s="208" t="s">
        <v>242</v>
      </c>
      <c r="B154" s="209"/>
      <c r="C154" s="209" t="s">
        <v>145</v>
      </c>
      <c r="D154" s="209" t="s">
        <v>203</v>
      </c>
      <c r="E154" s="209"/>
      <c r="F154" s="207"/>
      <c r="G154" s="113">
        <f t="shared" ref="G154:M154" si="43">G155</f>
        <v>20000</v>
      </c>
      <c r="H154" s="113">
        <f t="shared" si="43"/>
        <v>0</v>
      </c>
      <c r="I154" s="113">
        <f t="shared" si="43"/>
        <v>750</v>
      </c>
      <c r="J154" s="113">
        <f t="shared" si="43"/>
        <v>0</v>
      </c>
      <c r="K154" s="113">
        <f t="shared" si="43"/>
        <v>0</v>
      </c>
      <c r="L154" s="113">
        <f t="shared" si="43"/>
        <v>0</v>
      </c>
      <c r="M154" s="113">
        <f t="shared" si="43"/>
        <v>0</v>
      </c>
      <c r="N154" s="113">
        <f>N162+N164+N166+N168</f>
        <v>39337.544000000002</v>
      </c>
      <c r="O154" s="113">
        <f>O155+O162+O164+O166+O168+O158</f>
        <v>78.635999999998603</v>
      </c>
      <c r="P154" s="114">
        <f>P155+P162+P164+P166+P168+P158</f>
        <v>0</v>
      </c>
      <c r="Q154" s="114">
        <f>Q155+Q162+Q164+Q166+Q168+Q158</f>
        <v>353.54505</v>
      </c>
      <c r="R154" s="113">
        <f>R155+R162+R164+R166+R168+R158</f>
        <v>-2301.4290000000001</v>
      </c>
      <c r="S154" s="115"/>
      <c r="T154" s="116">
        <f>T155+T162+T164+T166+T168+T158</f>
        <v>56496.433049999992</v>
      </c>
    </row>
    <row r="155" spans="1:23">
      <c r="A155" s="210" t="s">
        <v>243</v>
      </c>
      <c r="B155" s="211" t="s">
        <v>134</v>
      </c>
      <c r="C155" s="211" t="s">
        <v>145</v>
      </c>
      <c r="D155" s="211" t="s">
        <v>203</v>
      </c>
      <c r="E155" s="211" t="s">
        <v>244</v>
      </c>
      <c r="F155" s="212"/>
      <c r="G155" s="117">
        <f>G157+G156</f>
        <v>20000</v>
      </c>
      <c r="H155" s="117">
        <f>H157+H156</f>
        <v>0</v>
      </c>
      <c r="I155" s="117">
        <f>I157+I156</f>
        <v>750</v>
      </c>
      <c r="J155" s="117">
        <f>J157+J156</f>
        <v>0</v>
      </c>
      <c r="K155" s="117">
        <f>K157+K156</f>
        <v>0</v>
      </c>
      <c r="L155" s="117"/>
      <c r="M155" s="117"/>
      <c r="N155" s="117"/>
      <c r="O155" s="117">
        <f>O156+O157</f>
        <v>-20750</v>
      </c>
      <c r="P155" s="118"/>
      <c r="Q155" s="118"/>
      <c r="R155" s="119"/>
      <c r="S155" s="119"/>
      <c r="T155" s="120">
        <f>T157+T156</f>
        <v>0</v>
      </c>
    </row>
    <row r="156" spans="1:23">
      <c r="A156" s="214" t="s">
        <v>151</v>
      </c>
      <c r="B156" s="211" t="s">
        <v>134</v>
      </c>
      <c r="C156" s="211" t="s">
        <v>145</v>
      </c>
      <c r="D156" s="211" t="s">
        <v>203</v>
      </c>
      <c r="E156" s="211" t="s">
        <v>244</v>
      </c>
      <c r="F156" s="212" t="s">
        <v>152</v>
      </c>
      <c r="G156" s="117"/>
      <c r="H156" s="117"/>
      <c r="I156" s="117"/>
      <c r="J156" s="117"/>
      <c r="K156" s="117">
        <v>6000</v>
      </c>
      <c r="L156" s="117"/>
      <c r="M156" s="117"/>
      <c r="N156" s="117"/>
      <c r="O156" s="117">
        <f>-3343.218-2656.782</f>
        <v>-6000</v>
      </c>
      <c r="P156" s="118"/>
      <c r="Q156" s="118"/>
      <c r="R156" s="119"/>
      <c r="S156" s="119"/>
      <c r="T156" s="120">
        <f>J156+K156+O156</f>
        <v>0</v>
      </c>
    </row>
    <row r="157" spans="1:23" ht="33.75">
      <c r="A157" s="214" t="s">
        <v>215</v>
      </c>
      <c r="B157" s="211" t="s">
        <v>134</v>
      </c>
      <c r="C157" s="211" t="s">
        <v>145</v>
      </c>
      <c r="D157" s="211" t="s">
        <v>203</v>
      </c>
      <c r="E157" s="211" t="s">
        <v>244</v>
      </c>
      <c r="F157" s="212" t="s">
        <v>216</v>
      </c>
      <c r="G157" s="117">
        <v>20000</v>
      </c>
      <c r="H157" s="121"/>
      <c r="I157" s="121">
        <v>750</v>
      </c>
      <c r="J157" s="121"/>
      <c r="K157" s="121">
        <v>-6000</v>
      </c>
      <c r="L157" s="121"/>
      <c r="M157" s="121"/>
      <c r="N157" s="121"/>
      <c r="O157" s="121">
        <v>-14750</v>
      </c>
      <c r="P157" s="122"/>
      <c r="Q157" s="122"/>
      <c r="R157" s="123"/>
      <c r="S157" s="123"/>
      <c r="T157" s="124">
        <f>G157+H157+I157+J157+K157+O157</f>
        <v>0</v>
      </c>
    </row>
    <row r="158" spans="1:23" s="6" customFormat="1">
      <c r="A158" s="216" t="s">
        <v>190</v>
      </c>
      <c r="B158" s="209" t="s">
        <v>134</v>
      </c>
      <c r="C158" s="209" t="s">
        <v>145</v>
      </c>
      <c r="D158" s="209" t="s">
        <v>203</v>
      </c>
      <c r="E158" s="209" t="s">
        <v>572</v>
      </c>
      <c r="F158" s="207"/>
      <c r="G158" s="113"/>
      <c r="H158" s="125"/>
      <c r="I158" s="125"/>
      <c r="J158" s="125"/>
      <c r="K158" s="125"/>
      <c r="L158" s="125"/>
      <c r="M158" s="125"/>
      <c r="N158" s="125"/>
      <c r="O158" s="125">
        <f>O159+O160</f>
        <v>20828.635999999999</v>
      </c>
      <c r="P158" s="126">
        <f>P159+P160</f>
        <v>0</v>
      </c>
      <c r="Q158" s="126">
        <f>Q159+Q160</f>
        <v>353.54505</v>
      </c>
      <c r="R158" s="127"/>
      <c r="S158" s="127"/>
      <c r="T158" s="128">
        <f>T159+T160+T161</f>
        <v>19460.318049999998</v>
      </c>
    </row>
    <row r="159" spans="1:23">
      <c r="A159" s="214" t="s">
        <v>151</v>
      </c>
      <c r="B159" s="211" t="s">
        <v>134</v>
      </c>
      <c r="C159" s="211" t="s">
        <v>145</v>
      </c>
      <c r="D159" s="211" t="s">
        <v>203</v>
      </c>
      <c r="E159" s="211" t="s">
        <v>573</v>
      </c>
      <c r="F159" s="212" t="s">
        <v>152</v>
      </c>
      <c r="G159" s="117"/>
      <c r="H159" s="121"/>
      <c r="I159" s="121"/>
      <c r="J159" s="121"/>
      <c r="K159" s="121"/>
      <c r="L159" s="121"/>
      <c r="M159" s="121"/>
      <c r="N159" s="121"/>
      <c r="O159" s="121">
        <f>2656.782+3343.218+78.636</f>
        <v>6078.6360000000004</v>
      </c>
      <c r="P159" s="122"/>
      <c r="Q159" s="122">
        <v>510.25405000000001</v>
      </c>
      <c r="R159" s="123"/>
      <c r="S159" s="123"/>
      <c r="T159" s="124">
        <v>6510.2540499999996</v>
      </c>
    </row>
    <row r="160" spans="1:23" ht="33.75">
      <c r="A160" s="217" t="s">
        <v>215</v>
      </c>
      <c r="B160" s="211" t="s">
        <v>134</v>
      </c>
      <c r="C160" s="211" t="s">
        <v>145</v>
      </c>
      <c r="D160" s="211" t="s">
        <v>203</v>
      </c>
      <c r="E160" s="211" t="s">
        <v>574</v>
      </c>
      <c r="F160" s="212" t="s">
        <v>216</v>
      </c>
      <c r="G160" s="117"/>
      <c r="H160" s="121"/>
      <c r="I160" s="121"/>
      <c r="J160" s="121"/>
      <c r="K160" s="121"/>
      <c r="L160" s="121"/>
      <c r="M160" s="121"/>
      <c r="N160" s="121"/>
      <c r="O160" s="121">
        <v>14750</v>
      </c>
      <c r="P160" s="122"/>
      <c r="Q160" s="122">
        <v>-156.709</v>
      </c>
      <c r="R160" s="123"/>
      <c r="S160" s="123"/>
      <c r="T160" s="124">
        <v>12871.428</v>
      </c>
    </row>
    <row r="161" spans="1:20" ht="33.75">
      <c r="A161" s="217" t="s">
        <v>582</v>
      </c>
      <c r="B161" s="211" t="s">
        <v>134</v>
      </c>
      <c r="C161" s="211" t="s">
        <v>145</v>
      </c>
      <c r="D161" s="211" t="s">
        <v>203</v>
      </c>
      <c r="E161" s="211" t="s">
        <v>616</v>
      </c>
      <c r="F161" s="212" t="s">
        <v>583</v>
      </c>
      <c r="G161" s="117"/>
      <c r="H161" s="121"/>
      <c r="I161" s="121"/>
      <c r="J161" s="121"/>
      <c r="K161" s="121"/>
      <c r="L161" s="121"/>
      <c r="M161" s="121"/>
      <c r="N161" s="121"/>
      <c r="O161" s="121"/>
      <c r="P161" s="122"/>
      <c r="Q161" s="122"/>
      <c r="R161" s="123"/>
      <c r="S161" s="123"/>
      <c r="T161" s="124">
        <v>78.635999999999996</v>
      </c>
    </row>
    <row r="162" spans="1:20" s="6" customFormat="1">
      <c r="A162" s="221" t="s">
        <v>575</v>
      </c>
      <c r="B162" s="209" t="s">
        <v>134</v>
      </c>
      <c r="C162" s="209" t="s">
        <v>145</v>
      </c>
      <c r="D162" s="209" t="s">
        <v>203</v>
      </c>
      <c r="E162" s="209" t="s">
        <v>453</v>
      </c>
      <c r="F162" s="207"/>
      <c r="G162" s="113"/>
      <c r="H162" s="125"/>
      <c r="I162" s="125"/>
      <c r="J162" s="125"/>
      <c r="K162" s="125"/>
      <c r="L162" s="125"/>
      <c r="M162" s="125"/>
      <c r="N162" s="125">
        <f>N163</f>
        <v>23031.582999999999</v>
      </c>
      <c r="O162" s="125">
        <f>O163</f>
        <v>0</v>
      </c>
      <c r="P162" s="126">
        <f>P163</f>
        <v>0</v>
      </c>
      <c r="Q162" s="126">
        <f>Q163</f>
        <v>0</v>
      </c>
      <c r="R162" s="127">
        <f>R163</f>
        <v>-2301.4290000000001</v>
      </c>
      <c r="S162" s="127"/>
      <c r="T162" s="128">
        <f>T163</f>
        <v>20730.153999999999</v>
      </c>
    </row>
    <row r="163" spans="1:20" ht="33.75">
      <c r="A163" s="227" t="s">
        <v>571</v>
      </c>
      <c r="B163" s="211" t="s">
        <v>134</v>
      </c>
      <c r="C163" s="211" t="s">
        <v>145</v>
      </c>
      <c r="D163" s="211" t="s">
        <v>203</v>
      </c>
      <c r="E163" s="211" t="s">
        <v>453</v>
      </c>
      <c r="F163" s="212" t="s">
        <v>256</v>
      </c>
      <c r="G163" s="117"/>
      <c r="H163" s="121"/>
      <c r="I163" s="121"/>
      <c r="J163" s="121"/>
      <c r="K163" s="121"/>
      <c r="L163" s="121"/>
      <c r="M163" s="121"/>
      <c r="N163" s="121">
        <v>23031.582999999999</v>
      </c>
      <c r="O163" s="121"/>
      <c r="P163" s="122"/>
      <c r="Q163" s="122"/>
      <c r="R163" s="123">
        <v>-2301.4290000000001</v>
      </c>
      <c r="S163" s="123"/>
      <c r="T163" s="124">
        <v>20730.153999999999</v>
      </c>
    </row>
    <row r="164" spans="1:20" s="6" customFormat="1">
      <c r="A164" s="221" t="s">
        <v>576</v>
      </c>
      <c r="B164" s="209" t="s">
        <v>134</v>
      </c>
      <c r="C164" s="209" t="s">
        <v>145</v>
      </c>
      <c r="D164" s="209" t="s">
        <v>203</v>
      </c>
      <c r="E164" s="209" t="s">
        <v>577</v>
      </c>
      <c r="F164" s="207"/>
      <c r="G164" s="113"/>
      <c r="H164" s="125"/>
      <c r="I164" s="125"/>
      <c r="J164" s="125"/>
      <c r="K164" s="125"/>
      <c r="L164" s="125"/>
      <c r="M164" s="125"/>
      <c r="N164" s="125">
        <f>N165</f>
        <v>1494.09</v>
      </c>
      <c r="O164" s="125">
        <f>O165</f>
        <v>0</v>
      </c>
      <c r="P164" s="126">
        <f>P165</f>
        <v>0</v>
      </c>
      <c r="Q164" s="126">
        <f>Q165</f>
        <v>0</v>
      </c>
      <c r="R164" s="127"/>
      <c r="S164" s="127"/>
      <c r="T164" s="128">
        <f>T165</f>
        <v>1494.09</v>
      </c>
    </row>
    <row r="165" spans="1:20">
      <c r="A165" s="214" t="s">
        <v>151</v>
      </c>
      <c r="B165" s="211" t="s">
        <v>134</v>
      </c>
      <c r="C165" s="211" t="s">
        <v>145</v>
      </c>
      <c r="D165" s="211" t="s">
        <v>203</v>
      </c>
      <c r="E165" s="211" t="s">
        <v>577</v>
      </c>
      <c r="F165" s="212" t="s">
        <v>152</v>
      </c>
      <c r="G165" s="117"/>
      <c r="H165" s="121"/>
      <c r="I165" s="121"/>
      <c r="J165" s="121"/>
      <c r="K165" s="121"/>
      <c r="L165" s="121"/>
      <c r="M165" s="121"/>
      <c r="N165" s="121">
        <v>1494.09</v>
      </c>
      <c r="O165" s="121"/>
      <c r="P165" s="122"/>
      <c r="Q165" s="122"/>
      <c r="R165" s="123"/>
      <c r="S165" s="123"/>
      <c r="T165" s="124">
        <v>1494.09</v>
      </c>
    </row>
    <row r="166" spans="1:20" s="6" customFormat="1">
      <c r="A166" s="221" t="s">
        <v>578</v>
      </c>
      <c r="B166" s="209" t="s">
        <v>134</v>
      </c>
      <c r="C166" s="209" t="s">
        <v>145</v>
      </c>
      <c r="D166" s="209" t="s">
        <v>203</v>
      </c>
      <c r="E166" s="209" t="s">
        <v>579</v>
      </c>
      <c r="F166" s="207"/>
      <c r="G166" s="113"/>
      <c r="H166" s="125"/>
      <c r="I166" s="125"/>
      <c r="J166" s="125"/>
      <c r="K166" s="125"/>
      <c r="L166" s="125"/>
      <c r="M166" s="125"/>
      <c r="N166" s="125">
        <f>N167</f>
        <v>11834.395</v>
      </c>
      <c r="O166" s="125">
        <f>O167</f>
        <v>0</v>
      </c>
      <c r="P166" s="126">
        <f>P167</f>
        <v>0</v>
      </c>
      <c r="Q166" s="126">
        <f>Q167</f>
        <v>0</v>
      </c>
      <c r="R166" s="127"/>
      <c r="S166" s="127"/>
      <c r="T166" s="128">
        <f>T167</f>
        <v>11834.395</v>
      </c>
    </row>
    <row r="167" spans="1:20">
      <c r="A167" s="214" t="s">
        <v>151</v>
      </c>
      <c r="B167" s="211" t="s">
        <v>134</v>
      </c>
      <c r="C167" s="211" t="s">
        <v>145</v>
      </c>
      <c r="D167" s="211" t="s">
        <v>203</v>
      </c>
      <c r="E167" s="211" t="s">
        <v>579</v>
      </c>
      <c r="F167" s="212" t="s">
        <v>152</v>
      </c>
      <c r="G167" s="117"/>
      <c r="H167" s="121"/>
      <c r="I167" s="121"/>
      <c r="J167" s="121"/>
      <c r="K167" s="121"/>
      <c r="L167" s="121"/>
      <c r="M167" s="121"/>
      <c r="N167" s="121">
        <v>11834.395</v>
      </c>
      <c r="O167" s="121"/>
      <c r="P167" s="122"/>
      <c r="Q167" s="122"/>
      <c r="R167" s="123"/>
      <c r="S167" s="123"/>
      <c r="T167" s="124">
        <v>11834.395</v>
      </c>
    </row>
    <row r="168" spans="1:20" s="6" customFormat="1">
      <c r="A168" s="221" t="s">
        <v>580</v>
      </c>
      <c r="B168" s="209" t="s">
        <v>134</v>
      </c>
      <c r="C168" s="209" t="s">
        <v>145</v>
      </c>
      <c r="D168" s="209" t="s">
        <v>203</v>
      </c>
      <c r="E168" s="209" t="s">
        <v>581</v>
      </c>
      <c r="F168" s="207"/>
      <c r="G168" s="113"/>
      <c r="H168" s="125"/>
      <c r="I168" s="125"/>
      <c r="J168" s="125"/>
      <c r="K168" s="125"/>
      <c r="L168" s="125"/>
      <c r="M168" s="125"/>
      <c r="N168" s="125">
        <f>N169</f>
        <v>2977.4760000000001</v>
      </c>
      <c r="O168" s="125">
        <f>O169</f>
        <v>0</v>
      </c>
      <c r="P168" s="126">
        <f>P169</f>
        <v>0</v>
      </c>
      <c r="Q168" s="126">
        <f>Q169</f>
        <v>0</v>
      </c>
      <c r="R168" s="127"/>
      <c r="S168" s="127"/>
      <c r="T168" s="128">
        <f>T169</f>
        <v>2977.4760000000001</v>
      </c>
    </row>
    <row r="169" spans="1:20">
      <c r="A169" s="214" t="s">
        <v>151</v>
      </c>
      <c r="B169" s="211" t="s">
        <v>134</v>
      </c>
      <c r="C169" s="211" t="s">
        <v>145</v>
      </c>
      <c r="D169" s="211" t="s">
        <v>203</v>
      </c>
      <c r="E169" s="211" t="s">
        <v>581</v>
      </c>
      <c r="F169" s="212" t="s">
        <v>152</v>
      </c>
      <c r="G169" s="117"/>
      <c r="H169" s="121"/>
      <c r="I169" s="121"/>
      <c r="J169" s="121"/>
      <c r="K169" s="121"/>
      <c r="L169" s="121"/>
      <c r="M169" s="121"/>
      <c r="N169" s="121">
        <v>2977.4760000000001</v>
      </c>
      <c r="O169" s="121"/>
      <c r="P169" s="122"/>
      <c r="Q169" s="122"/>
      <c r="R169" s="123"/>
      <c r="S169" s="123"/>
      <c r="T169" s="124">
        <v>2977.4760000000001</v>
      </c>
    </row>
    <row r="170" spans="1:20">
      <c r="A170" s="216" t="s">
        <v>245</v>
      </c>
      <c r="B170" s="209"/>
      <c r="C170" s="209" t="s">
        <v>145</v>
      </c>
      <c r="D170" s="209" t="s">
        <v>246</v>
      </c>
      <c r="E170" s="209"/>
      <c r="F170" s="207"/>
      <c r="G170" s="113">
        <f>G178+G186+G171+G182+G189+G191+G180+G193</f>
        <v>5289.2380000000003</v>
      </c>
      <c r="H170" s="113">
        <f t="shared" ref="H170:Q170" si="44">H178+H186+H171+H182+H189+H191+H180+H193</f>
        <v>526</v>
      </c>
      <c r="I170" s="113">
        <f t="shared" si="44"/>
        <v>0</v>
      </c>
      <c r="J170" s="113">
        <f t="shared" si="44"/>
        <v>450</v>
      </c>
      <c r="K170" s="113">
        <f t="shared" si="44"/>
        <v>0</v>
      </c>
      <c r="L170" s="113">
        <f t="shared" si="44"/>
        <v>300</v>
      </c>
      <c r="M170" s="113">
        <f t="shared" si="44"/>
        <v>0</v>
      </c>
      <c r="N170" s="113">
        <f t="shared" si="44"/>
        <v>4552.6000000000004</v>
      </c>
      <c r="O170" s="113">
        <f t="shared" si="44"/>
        <v>1666</v>
      </c>
      <c r="P170" s="114">
        <f t="shared" si="44"/>
        <v>16045.874</v>
      </c>
      <c r="Q170" s="114">
        <f t="shared" si="44"/>
        <v>113.456</v>
      </c>
      <c r="R170" s="113">
        <f>R178+R186+R171+R182+R189+R191+R180+R193+R184+R195</f>
        <v>-13324.83</v>
      </c>
      <c r="S170" s="113">
        <f>S178+S186+S171+S182+S189+S191+S180+S193+S184+S195</f>
        <v>75.800000000000011</v>
      </c>
      <c r="T170" s="114">
        <f>T178+T186+T171+T182+T189+T191+T180+T193+T184+T195</f>
        <v>9682.5515800000012</v>
      </c>
    </row>
    <row r="171" spans="1:20" s="6" customFormat="1">
      <c r="A171" s="222" t="s">
        <v>176</v>
      </c>
      <c r="B171" s="209" t="s">
        <v>134</v>
      </c>
      <c r="C171" s="209" t="s">
        <v>145</v>
      </c>
      <c r="D171" s="209" t="s">
        <v>246</v>
      </c>
      <c r="E171" s="209" t="s">
        <v>247</v>
      </c>
      <c r="F171" s="207"/>
      <c r="G171" s="113">
        <f t="shared" ref="G171:M171" si="45">G172+G173+G175+G176+G177+G174</f>
        <v>3389.2380000000003</v>
      </c>
      <c r="H171" s="113">
        <f t="shared" si="45"/>
        <v>126</v>
      </c>
      <c r="I171" s="113">
        <f t="shared" si="45"/>
        <v>0</v>
      </c>
      <c r="J171" s="113">
        <f t="shared" si="45"/>
        <v>0</v>
      </c>
      <c r="K171" s="113">
        <f t="shared" si="45"/>
        <v>0</v>
      </c>
      <c r="L171" s="113">
        <f t="shared" si="45"/>
        <v>300</v>
      </c>
      <c r="M171" s="113">
        <f t="shared" si="45"/>
        <v>0</v>
      </c>
      <c r="N171" s="113"/>
      <c r="O171" s="113">
        <f>O172+O173+O174+O175+O176+O177</f>
        <v>12</v>
      </c>
      <c r="P171" s="114">
        <f>P172+P173+P174+P175+P176+P177</f>
        <v>0</v>
      </c>
      <c r="Q171" s="114">
        <f>Q172+Q173+Q174+Q175+Q176+Q177</f>
        <v>113.456</v>
      </c>
      <c r="R171" s="113">
        <f>R172+R173+R174+R175+R176+R177</f>
        <v>100</v>
      </c>
      <c r="S171" s="113">
        <f>S172+S173+S174+S175+S176+S177</f>
        <v>110.82153000000002</v>
      </c>
      <c r="T171" s="116">
        <f>T172+T173+T175+T176+T177+T174</f>
        <v>4139.2345300000006</v>
      </c>
    </row>
    <row r="172" spans="1:20">
      <c r="A172" s="213" t="s">
        <v>139</v>
      </c>
      <c r="B172" s="211" t="s">
        <v>134</v>
      </c>
      <c r="C172" s="211" t="s">
        <v>145</v>
      </c>
      <c r="D172" s="211" t="s">
        <v>246</v>
      </c>
      <c r="E172" s="211" t="s">
        <v>247</v>
      </c>
      <c r="F172" s="212" t="s">
        <v>185</v>
      </c>
      <c r="G172" s="117">
        <f>2243.137+677.427</f>
        <v>2920.5640000000003</v>
      </c>
      <c r="H172" s="121"/>
      <c r="I172" s="121"/>
      <c r="J172" s="121"/>
      <c r="K172" s="121"/>
      <c r="L172" s="121"/>
      <c r="M172" s="121"/>
      <c r="N172" s="121"/>
      <c r="O172" s="121"/>
      <c r="P172" s="122"/>
      <c r="Q172" s="122">
        <v>115</v>
      </c>
      <c r="R172" s="123">
        <v>100</v>
      </c>
      <c r="S172" s="123">
        <f>3.8+186.26041</f>
        <v>190.06041000000002</v>
      </c>
      <c r="T172" s="124">
        <v>3325.6244099999999</v>
      </c>
    </row>
    <row r="173" spans="1:20">
      <c r="A173" s="214" t="s">
        <v>142</v>
      </c>
      <c r="B173" s="211" t="s">
        <v>134</v>
      </c>
      <c r="C173" s="211" t="s">
        <v>145</v>
      </c>
      <c r="D173" s="211" t="s">
        <v>246</v>
      </c>
      <c r="E173" s="211" t="s">
        <v>247</v>
      </c>
      <c r="F173" s="212" t="s">
        <v>235</v>
      </c>
      <c r="G173" s="117">
        <v>113.239</v>
      </c>
      <c r="H173" s="121"/>
      <c r="I173" s="121"/>
      <c r="J173" s="121"/>
      <c r="K173" s="121"/>
      <c r="L173" s="121"/>
      <c r="M173" s="121"/>
      <c r="N173" s="121"/>
      <c r="O173" s="121"/>
      <c r="P173" s="122"/>
      <c r="Q173" s="122">
        <v>14.8962</v>
      </c>
      <c r="R173" s="123"/>
      <c r="S173" s="123"/>
      <c r="T173" s="124">
        <v>128.1352</v>
      </c>
    </row>
    <row r="174" spans="1:20" ht="22.5">
      <c r="A174" s="214" t="s">
        <v>149</v>
      </c>
      <c r="B174" s="211" t="s">
        <v>134</v>
      </c>
      <c r="C174" s="211" t="s">
        <v>145</v>
      </c>
      <c r="D174" s="211" t="s">
        <v>246</v>
      </c>
      <c r="E174" s="211" t="s">
        <v>247</v>
      </c>
      <c r="F174" s="212" t="s">
        <v>150</v>
      </c>
      <c r="G174" s="117">
        <v>22.302</v>
      </c>
      <c r="H174" s="121"/>
      <c r="I174" s="121"/>
      <c r="J174" s="121"/>
      <c r="K174" s="121">
        <v>126</v>
      </c>
      <c r="L174" s="121"/>
      <c r="M174" s="121"/>
      <c r="N174" s="121"/>
      <c r="O174" s="121">
        <f>12</f>
        <v>12</v>
      </c>
      <c r="P174" s="122"/>
      <c r="Q174" s="122"/>
      <c r="R174" s="123"/>
      <c r="S174" s="123">
        <f>-31.98089+42</f>
        <v>10.019110000000001</v>
      </c>
      <c r="T174" s="124">
        <v>170.32111</v>
      </c>
    </row>
    <row r="175" spans="1:20">
      <c r="A175" s="214" t="s">
        <v>151</v>
      </c>
      <c r="B175" s="211" t="s">
        <v>134</v>
      </c>
      <c r="C175" s="211" t="s">
        <v>145</v>
      </c>
      <c r="D175" s="211" t="s">
        <v>246</v>
      </c>
      <c r="E175" s="211" t="s">
        <v>247</v>
      </c>
      <c r="F175" s="212" t="s">
        <v>152</v>
      </c>
      <c r="G175" s="117">
        <v>329.69400000000002</v>
      </c>
      <c r="H175" s="121">
        <v>126</v>
      </c>
      <c r="I175" s="121"/>
      <c r="J175" s="121"/>
      <c r="K175" s="121">
        <f>-0.03-126</f>
        <v>-126.03</v>
      </c>
      <c r="L175" s="121">
        <v>300</v>
      </c>
      <c r="M175" s="121"/>
      <c r="N175" s="121"/>
      <c r="O175" s="121"/>
      <c r="P175" s="122"/>
      <c r="Q175" s="122">
        <v>-14.8962</v>
      </c>
      <c r="R175" s="123"/>
      <c r="S175" s="123">
        <f>72-118.29018-42</f>
        <v>-88.290180000000007</v>
      </c>
      <c r="T175" s="124">
        <v>514.19662000000005</v>
      </c>
    </row>
    <row r="176" spans="1:20">
      <c r="A176" s="217" t="s">
        <v>155</v>
      </c>
      <c r="B176" s="211" t="s">
        <v>134</v>
      </c>
      <c r="C176" s="211" t="s">
        <v>145</v>
      </c>
      <c r="D176" s="211" t="s">
        <v>246</v>
      </c>
      <c r="E176" s="211" t="s">
        <v>247</v>
      </c>
      <c r="F176" s="212" t="s">
        <v>156</v>
      </c>
      <c r="G176" s="117">
        <v>2.4390000000000001</v>
      </c>
      <c r="H176" s="121"/>
      <c r="I176" s="121"/>
      <c r="J176" s="121"/>
      <c r="K176" s="121"/>
      <c r="L176" s="121"/>
      <c r="M176" s="121"/>
      <c r="N176" s="121"/>
      <c r="O176" s="121"/>
      <c r="P176" s="122"/>
      <c r="Q176" s="122">
        <v>-1.544</v>
      </c>
      <c r="R176" s="123"/>
      <c r="S176" s="123">
        <v>-0.13800000000000001</v>
      </c>
      <c r="T176" s="124">
        <v>0.75700000000000001</v>
      </c>
    </row>
    <row r="177" spans="1:20">
      <c r="A177" s="217" t="s">
        <v>157</v>
      </c>
      <c r="B177" s="211" t="s">
        <v>134</v>
      </c>
      <c r="C177" s="211" t="s">
        <v>145</v>
      </c>
      <c r="D177" s="211" t="s">
        <v>246</v>
      </c>
      <c r="E177" s="211" t="s">
        <v>247</v>
      </c>
      <c r="F177" s="212" t="s">
        <v>158</v>
      </c>
      <c r="G177" s="117">
        <v>1</v>
      </c>
      <c r="H177" s="121"/>
      <c r="I177" s="121"/>
      <c r="J177" s="121"/>
      <c r="K177" s="121">
        <v>0.03</v>
      </c>
      <c r="L177" s="121"/>
      <c r="M177" s="121"/>
      <c r="N177" s="121"/>
      <c r="O177" s="121"/>
      <c r="P177" s="122"/>
      <c r="Q177" s="122"/>
      <c r="R177" s="123"/>
      <c r="S177" s="123">
        <v>-0.82981000000000005</v>
      </c>
      <c r="T177" s="124">
        <v>0.20019000000000001</v>
      </c>
    </row>
    <row r="178" spans="1:20" s="6" customFormat="1" ht="33.75">
      <c r="A178" s="222" t="s">
        <v>248</v>
      </c>
      <c r="B178" s="209" t="s">
        <v>134</v>
      </c>
      <c r="C178" s="209" t="s">
        <v>145</v>
      </c>
      <c r="D178" s="209" t="s">
        <v>246</v>
      </c>
      <c r="E178" s="209" t="s">
        <v>249</v>
      </c>
      <c r="F178" s="207"/>
      <c r="G178" s="113">
        <f>G179</f>
        <v>300</v>
      </c>
      <c r="H178" s="113">
        <f>H179</f>
        <v>0</v>
      </c>
      <c r="I178" s="113">
        <f>I179</f>
        <v>0</v>
      </c>
      <c r="J178" s="113">
        <f>J179</f>
        <v>0</v>
      </c>
      <c r="K178" s="113">
        <f>K179</f>
        <v>-6.1105600000000004</v>
      </c>
      <c r="L178" s="113"/>
      <c r="M178" s="113"/>
      <c r="N178" s="113"/>
      <c r="O178" s="113"/>
      <c r="P178" s="114"/>
      <c r="Q178" s="114"/>
      <c r="R178" s="115"/>
      <c r="S178" s="115">
        <f>S179</f>
        <v>54.592559999999999</v>
      </c>
      <c r="T178" s="116">
        <f>T179</f>
        <v>348.48200000000003</v>
      </c>
    </row>
    <row r="179" spans="1:20">
      <c r="A179" s="214" t="s">
        <v>151</v>
      </c>
      <c r="B179" s="211" t="s">
        <v>134</v>
      </c>
      <c r="C179" s="211" t="s">
        <v>145</v>
      </c>
      <c r="D179" s="211">
        <v>12</v>
      </c>
      <c r="E179" s="211" t="s">
        <v>249</v>
      </c>
      <c r="F179" s="212" t="s">
        <v>152</v>
      </c>
      <c r="G179" s="117">
        <v>300</v>
      </c>
      <c r="H179" s="121"/>
      <c r="I179" s="121"/>
      <c r="J179" s="121"/>
      <c r="K179" s="121">
        <v>-6.1105600000000004</v>
      </c>
      <c r="L179" s="121"/>
      <c r="M179" s="121"/>
      <c r="N179" s="121"/>
      <c r="O179" s="121"/>
      <c r="P179" s="122"/>
      <c r="Q179" s="122"/>
      <c r="R179" s="123"/>
      <c r="S179" s="123">
        <v>54.592559999999999</v>
      </c>
      <c r="T179" s="124">
        <v>348.48200000000003</v>
      </c>
    </row>
    <row r="180" spans="1:20" s="6" customFormat="1" ht="22.5">
      <c r="A180" s="232" t="s">
        <v>262</v>
      </c>
      <c r="B180" s="209" t="s">
        <v>134</v>
      </c>
      <c r="C180" s="209" t="s">
        <v>145</v>
      </c>
      <c r="D180" s="209" t="s">
        <v>246</v>
      </c>
      <c r="E180" s="209" t="s">
        <v>263</v>
      </c>
      <c r="F180" s="207"/>
      <c r="G180" s="113"/>
      <c r="H180" s="125"/>
      <c r="I180" s="125"/>
      <c r="J180" s="125"/>
      <c r="K180" s="125"/>
      <c r="L180" s="125"/>
      <c r="M180" s="125"/>
      <c r="N180" s="125"/>
      <c r="O180" s="125"/>
      <c r="P180" s="126">
        <f>P181</f>
        <v>14144.33</v>
      </c>
      <c r="Q180" s="126">
        <f>Q181</f>
        <v>0</v>
      </c>
      <c r="R180" s="125">
        <f>R181</f>
        <v>-14144.33</v>
      </c>
      <c r="S180" s="125"/>
      <c r="T180" s="126">
        <f>T181</f>
        <v>0</v>
      </c>
    </row>
    <row r="181" spans="1:20" ht="33.75">
      <c r="A181" s="217" t="s">
        <v>582</v>
      </c>
      <c r="B181" s="211" t="s">
        <v>134</v>
      </c>
      <c r="C181" s="211" t="s">
        <v>145</v>
      </c>
      <c r="D181" s="211" t="s">
        <v>246</v>
      </c>
      <c r="E181" s="211" t="s">
        <v>263</v>
      </c>
      <c r="F181" s="212" t="s">
        <v>583</v>
      </c>
      <c r="G181" s="117"/>
      <c r="H181" s="121"/>
      <c r="I181" s="121"/>
      <c r="J181" s="121"/>
      <c r="K181" s="121"/>
      <c r="L181" s="121"/>
      <c r="M181" s="121"/>
      <c r="N181" s="121"/>
      <c r="O181" s="121"/>
      <c r="P181" s="122">
        <v>14144.33</v>
      </c>
      <c r="Q181" s="122"/>
      <c r="R181" s="123">
        <v>-14144.33</v>
      </c>
      <c r="S181" s="123"/>
      <c r="T181" s="124">
        <f>P181+R181</f>
        <v>0</v>
      </c>
    </row>
    <row r="182" spans="1:20" s="6" customFormat="1">
      <c r="A182" s="232" t="s">
        <v>584</v>
      </c>
      <c r="B182" s="209" t="s">
        <v>134</v>
      </c>
      <c r="C182" s="209" t="s">
        <v>145</v>
      </c>
      <c r="D182" s="209">
        <v>12</v>
      </c>
      <c r="E182" s="209" t="s">
        <v>250</v>
      </c>
      <c r="F182" s="207"/>
      <c r="G182" s="113">
        <f>G183</f>
        <v>0</v>
      </c>
      <c r="H182" s="113">
        <f>H183</f>
        <v>0</v>
      </c>
      <c r="I182" s="113">
        <f>I183</f>
        <v>0</v>
      </c>
      <c r="J182" s="113">
        <f>J183</f>
        <v>300</v>
      </c>
      <c r="K182" s="113">
        <f>K183</f>
        <v>6.1105600000000004</v>
      </c>
      <c r="L182" s="113"/>
      <c r="M182" s="113"/>
      <c r="N182" s="113"/>
      <c r="O182" s="113">
        <f>O183</f>
        <v>1574</v>
      </c>
      <c r="P182" s="114">
        <f>P183</f>
        <v>0</v>
      </c>
      <c r="Q182" s="114">
        <f>Q183</f>
        <v>0</v>
      </c>
      <c r="R182" s="115"/>
      <c r="S182" s="115">
        <f>S183</f>
        <v>-89.614090000000004</v>
      </c>
      <c r="T182" s="116">
        <f>T183</f>
        <v>790.42367999999999</v>
      </c>
    </row>
    <row r="183" spans="1:20">
      <c r="A183" s="214" t="s">
        <v>151</v>
      </c>
      <c r="B183" s="211" t="s">
        <v>134</v>
      </c>
      <c r="C183" s="211" t="s">
        <v>145</v>
      </c>
      <c r="D183" s="211">
        <v>12</v>
      </c>
      <c r="E183" s="211" t="s">
        <v>250</v>
      </c>
      <c r="F183" s="212" t="s">
        <v>152</v>
      </c>
      <c r="G183" s="117"/>
      <c r="H183" s="121"/>
      <c r="I183" s="121"/>
      <c r="J183" s="121">
        <v>300</v>
      </c>
      <c r="K183" s="121">
        <v>6.1105600000000004</v>
      </c>
      <c r="L183" s="121"/>
      <c r="M183" s="121"/>
      <c r="N183" s="121"/>
      <c r="O183" s="121">
        <f>150+424+1000</f>
        <v>1574</v>
      </c>
      <c r="P183" s="122"/>
      <c r="Q183" s="122"/>
      <c r="R183" s="123"/>
      <c r="S183" s="123">
        <v>-89.614090000000004</v>
      </c>
      <c r="T183" s="124">
        <v>790.42367999999999</v>
      </c>
    </row>
    <row r="184" spans="1:20" s="6" customFormat="1" ht="33.75">
      <c r="A184" s="233" t="s">
        <v>585</v>
      </c>
      <c r="B184" s="211" t="s">
        <v>134</v>
      </c>
      <c r="C184" s="211" t="s">
        <v>145</v>
      </c>
      <c r="D184" s="211" t="s">
        <v>246</v>
      </c>
      <c r="E184" s="209" t="s">
        <v>586</v>
      </c>
      <c r="F184" s="207"/>
      <c r="G184" s="113"/>
      <c r="H184" s="125"/>
      <c r="I184" s="125"/>
      <c r="J184" s="125"/>
      <c r="K184" s="125"/>
      <c r="L184" s="125"/>
      <c r="M184" s="125"/>
      <c r="N184" s="125"/>
      <c r="O184" s="125"/>
      <c r="P184" s="126"/>
      <c r="Q184" s="126"/>
      <c r="R184" s="127">
        <f>R185</f>
        <v>200</v>
      </c>
      <c r="S184" s="127"/>
      <c r="T184" s="128">
        <f>T185</f>
        <v>200</v>
      </c>
    </row>
    <row r="185" spans="1:20" ht="33.75">
      <c r="A185" s="217" t="s">
        <v>215</v>
      </c>
      <c r="B185" s="211" t="s">
        <v>134</v>
      </c>
      <c r="C185" s="211" t="s">
        <v>145</v>
      </c>
      <c r="D185" s="211" t="s">
        <v>246</v>
      </c>
      <c r="E185" s="211" t="s">
        <v>586</v>
      </c>
      <c r="F185" s="212" t="s">
        <v>216</v>
      </c>
      <c r="G185" s="117"/>
      <c r="H185" s="121"/>
      <c r="I185" s="121"/>
      <c r="J185" s="121"/>
      <c r="K185" s="121"/>
      <c r="L185" s="121"/>
      <c r="M185" s="121"/>
      <c r="N185" s="121"/>
      <c r="O185" s="121"/>
      <c r="P185" s="122"/>
      <c r="Q185" s="122"/>
      <c r="R185" s="123">
        <v>200</v>
      </c>
      <c r="S185" s="123"/>
      <c r="T185" s="124">
        <v>200</v>
      </c>
    </row>
    <row r="186" spans="1:20" s="6" customFormat="1">
      <c r="A186" s="216" t="s">
        <v>190</v>
      </c>
      <c r="B186" s="209" t="s">
        <v>134</v>
      </c>
      <c r="C186" s="209" t="s">
        <v>145</v>
      </c>
      <c r="D186" s="209" t="s">
        <v>246</v>
      </c>
      <c r="E186" s="209" t="s">
        <v>191</v>
      </c>
      <c r="F186" s="207"/>
      <c r="G186" s="113">
        <f t="shared" ref="G186:T186" si="46">G187+G188</f>
        <v>1600</v>
      </c>
      <c r="H186" s="113">
        <f t="shared" si="46"/>
        <v>400</v>
      </c>
      <c r="I186" s="113">
        <f t="shared" si="46"/>
        <v>0</v>
      </c>
      <c r="J186" s="113">
        <f t="shared" si="46"/>
        <v>150</v>
      </c>
      <c r="K186" s="113">
        <f t="shared" si="46"/>
        <v>0</v>
      </c>
      <c r="L186" s="113">
        <f t="shared" si="46"/>
        <v>0</v>
      </c>
      <c r="M186" s="113">
        <f t="shared" si="46"/>
        <v>0</v>
      </c>
      <c r="N186" s="113"/>
      <c r="O186" s="113">
        <f>O187</f>
        <v>80</v>
      </c>
      <c r="P186" s="114">
        <f>P187</f>
        <v>0</v>
      </c>
      <c r="Q186" s="114">
        <f>Q187</f>
        <v>0</v>
      </c>
      <c r="R186" s="115"/>
      <c r="S186" s="115"/>
      <c r="T186" s="116">
        <f t="shared" si="46"/>
        <v>2044.2187300000001</v>
      </c>
    </row>
    <row r="187" spans="1:20">
      <c r="A187" s="214" t="s">
        <v>151</v>
      </c>
      <c r="B187" s="211" t="s">
        <v>134</v>
      </c>
      <c r="C187" s="211" t="s">
        <v>145</v>
      </c>
      <c r="D187" s="211" t="s">
        <v>246</v>
      </c>
      <c r="E187" s="211" t="s">
        <v>191</v>
      </c>
      <c r="F187" s="212" t="s">
        <v>152</v>
      </c>
      <c r="G187" s="117">
        <v>679</v>
      </c>
      <c r="H187" s="121">
        <v>400</v>
      </c>
      <c r="I187" s="121"/>
      <c r="J187" s="121">
        <v>150</v>
      </c>
      <c r="K187" s="121"/>
      <c r="L187" s="121"/>
      <c r="M187" s="121"/>
      <c r="N187" s="121"/>
      <c r="O187" s="121">
        <v>80</v>
      </c>
      <c r="P187" s="122"/>
      <c r="Q187" s="122"/>
      <c r="R187" s="123"/>
      <c r="S187" s="123"/>
      <c r="T187" s="124">
        <v>1127.53773</v>
      </c>
    </row>
    <row r="188" spans="1:20" ht="33.75">
      <c r="A188" s="217" t="s">
        <v>215</v>
      </c>
      <c r="B188" s="211" t="s">
        <v>134</v>
      </c>
      <c r="C188" s="211" t="s">
        <v>145</v>
      </c>
      <c r="D188" s="211" t="s">
        <v>246</v>
      </c>
      <c r="E188" s="211" t="s">
        <v>191</v>
      </c>
      <c r="F188" s="212" t="s">
        <v>216</v>
      </c>
      <c r="G188" s="117">
        <v>921</v>
      </c>
      <c r="H188" s="121"/>
      <c r="I188" s="121"/>
      <c r="J188" s="121"/>
      <c r="K188" s="121"/>
      <c r="L188" s="121"/>
      <c r="M188" s="121"/>
      <c r="N188" s="121"/>
      <c r="O188" s="121"/>
      <c r="P188" s="122"/>
      <c r="Q188" s="122"/>
      <c r="R188" s="123"/>
      <c r="S188" s="123"/>
      <c r="T188" s="124">
        <v>916.68100000000004</v>
      </c>
    </row>
    <row r="189" spans="1:20" s="6" customFormat="1" ht="22.5">
      <c r="A189" s="230" t="s">
        <v>587</v>
      </c>
      <c r="B189" s="209" t="s">
        <v>134</v>
      </c>
      <c r="C189" s="209" t="s">
        <v>145</v>
      </c>
      <c r="D189" s="209" t="s">
        <v>246</v>
      </c>
      <c r="E189" s="209" t="s">
        <v>588</v>
      </c>
      <c r="F189" s="207"/>
      <c r="G189" s="113"/>
      <c r="H189" s="125"/>
      <c r="I189" s="125"/>
      <c r="J189" s="125"/>
      <c r="K189" s="125"/>
      <c r="L189" s="125"/>
      <c r="M189" s="125"/>
      <c r="N189" s="125"/>
      <c r="O189" s="125"/>
      <c r="P189" s="126">
        <f>P190</f>
        <v>1900</v>
      </c>
      <c r="Q189" s="126">
        <f>Q190</f>
        <v>0</v>
      </c>
      <c r="R189" s="127"/>
      <c r="S189" s="127"/>
      <c r="T189" s="128">
        <f>T190</f>
        <v>1900</v>
      </c>
    </row>
    <row r="190" spans="1:20" ht="33.75">
      <c r="A190" s="217" t="s">
        <v>582</v>
      </c>
      <c r="B190" s="211" t="s">
        <v>134</v>
      </c>
      <c r="C190" s="211" t="s">
        <v>145</v>
      </c>
      <c r="D190" s="211" t="s">
        <v>246</v>
      </c>
      <c r="E190" s="211" t="s">
        <v>588</v>
      </c>
      <c r="F190" s="212" t="s">
        <v>216</v>
      </c>
      <c r="G190" s="117"/>
      <c r="H190" s="121"/>
      <c r="I190" s="121"/>
      <c r="J190" s="121"/>
      <c r="K190" s="121"/>
      <c r="L190" s="121"/>
      <c r="M190" s="121"/>
      <c r="N190" s="121"/>
      <c r="O190" s="121"/>
      <c r="P190" s="122">
        <v>1900</v>
      </c>
      <c r="Q190" s="122"/>
      <c r="R190" s="123"/>
      <c r="S190" s="123"/>
      <c r="T190" s="124">
        <v>1900</v>
      </c>
    </row>
    <row r="191" spans="1:20" s="6" customFormat="1" ht="45">
      <c r="A191" s="226" t="s">
        <v>589</v>
      </c>
      <c r="B191" s="209" t="s">
        <v>134</v>
      </c>
      <c r="C191" s="209" t="s">
        <v>145</v>
      </c>
      <c r="D191" s="209" t="s">
        <v>246</v>
      </c>
      <c r="E191" s="209" t="s">
        <v>590</v>
      </c>
      <c r="F191" s="207"/>
      <c r="G191" s="113"/>
      <c r="H191" s="125"/>
      <c r="I191" s="125"/>
      <c r="J191" s="125"/>
      <c r="K191" s="125"/>
      <c r="L191" s="125"/>
      <c r="M191" s="125"/>
      <c r="N191" s="125">
        <f>N192</f>
        <v>4552.6000000000004</v>
      </c>
      <c r="O191" s="125">
        <f>O192</f>
        <v>0</v>
      </c>
      <c r="P191" s="126">
        <f>P192</f>
        <v>0</v>
      </c>
      <c r="Q191" s="126">
        <f>Q192</f>
        <v>0</v>
      </c>
      <c r="R191" s="127">
        <f>R192</f>
        <v>447.4</v>
      </c>
      <c r="S191" s="127"/>
      <c r="T191" s="128">
        <f>T192</f>
        <v>186.54864000000001</v>
      </c>
    </row>
    <row r="192" spans="1:20" ht="33.75">
      <c r="A192" s="217" t="s">
        <v>582</v>
      </c>
      <c r="B192" s="211" t="s">
        <v>134</v>
      </c>
      <c r="C192" s="211" t="s">
        <v>145</v>
      </c>
      <c r="D192" s="211" t="s">
        <v>246</v>
      </c>
      <c r="E192" s="211" t="s">
        <v>590</v>
      </c>
      <c r="F192" s="212" t="s">
        <v>583</v>
      </c>
      <c r="G192" s="117"/>
      <c r="H192" s="121"/>
      <c r="I192" s="121"/>
      <c r="J192" s="121"/>
      <c r="K192" s="121"/>
      <c r="L192" s="121"/>
      <c r="M192" s="121"/>
      <c r="N192" s="121">
        <v>4552.6000000000004</v>
      </c>
      <c r="O192" s="121"/>
      <c r="P192" s="122"/>
      <c r="Q192" s="122"/>
      <c r="R192" s="123">
        <v>447.4</v>
      </c>
      <c r="S192" s="123"/>
      <c r="T192" s="124">
        <v>186.54864000000001</v>
      </c>
    </row>
    <row r="193" spans="1:20" ht="26.25" customHeight="1">
      <c r="A193" s="218" t="s">
        <v>555</v>
      </c>
      <c r="B193" s="209" t="s">
        <v>134</v>
      </c>
      <c r="C193" s="209" t="s">
        <v>145</v>
      </c>
      <c r="D193" s="209" t="s">
        <v>246</v>
      </c>
      <c r="E193" s="209" t="s">
        <v>549</v>
      </c>
      <c r="F193" s="207"/>
      <c r="G193" s="117"/>
      <c r="H193" s="121"/>
      <c r="I193" s="121"/>
      <c r="J193" s="121"/>
      <c r="K193" s="121"/>
      <c r="L193" s="121"/>
      <c r="M193" s="121"/>
      <c r="N193" s="121"/>
      <c r="O193" s="121"/>
      <c r="P193" s="126">
        <f>P194</f>
        <v>1.544</v>
      </c>
      <c r="Q193" s="126">
        <f>Q194</f>
        <v>0</v>
      </c>
      <c r="R193" s="125"/>
      <c r="S193" s="125"/>
      <c r="T193" s="126">
        <f>T194</f>
        <v>1.544</v>
      </c>
    </row>
    <row r="194" spans="1:20">
      <c r="A194" s="214" t="s">
        <v>155</v>
      </c>
      <c r="B194" s="211" t="s">
        <v>134</v>
      </c>
      <c r="C194" s="211" t="s">
        <v>145</v>
      </c>
      <c r="D194" s="211" t="s">
        <v>246</v>
      </c>
      <c r="E194" s="211" t="s">
        <v>549</v>
      </c>
      <c r="F194" s="212" t="s">
        <v>156</v>
      </c>
      <c r="G194" s="117"/>
      <c r="H194" s="121"/>
      <c r="I194" s="121"/>
      <c r="J194" s="121"/>
      <c r="K194" s="121"/>
      <c r="L194" s="121"/>
      <c r="M194" s="121"/>
      <c r="N194" s="121"/>
      <c r="O194" s="121"/>
      <c r="P194" s="122">
        <v>1.544</v>
      </c>
      <c r="Q194" s="122"/>
      <c r="R194" s="123"/>
      <c r="S194" s="123"/>
      <c r="T194" s="124">
        <v>1.544</v>
      </c>
    </row>
    <row r="195" spans="1:20" s="6" customFormat="1" ht="55.5" customHeight="1">
      <c r="A195" s="215" t="s">
        <v>553</v>
      </c>
      <c r="B195" s="209" t="s">
        <v>134</v>
      </c>
      <c r="C195" s="209" t="s">
        <v>145</v>
      </c>
      <c r="D195" s="209" t="s">
        <v>246</v>
      </c>
      <c r="E195" s="209" t="s">
        <v>554</v>
      </c>
      <c r="F195" s="207"/>
      <c r="G195" s="113"/>
      <c r="H195" s="125"/>
      <c r="I195" s="125"/>
      <c r="J195" s="125"/>
      <c r="K195" s="125"/>
      <c r="L195" s="125"/>
      <c r="M195" s="125"/>
      <c r="N195" s="125"/>
      <c r="O195" s="125"/>
      <c r="P195" s="126"/>
      <c r="Q195" s="126"/>
      <c r="R195" s="127">
        <f>R196</f>
        <v>72.099999999999994</v>
      </c>
      <c r="S195" s="127"/>
      <c r="T195" s="128">
        <f>T196</f>
        <v>72.099999999999994</v>
      </c>
    </row>
    <row r="196" spans="1:20">
      <c r="A196" s="213" t="s">
        <v>139</v>
      </c>
      <c r="B196" s="211" t="s">
        <v>134</v>
      </c>
      <c r="C196" s="211" t="s">
        <v>145</v>
      </c>
      <c r="D196" s="211" t="s">
        <v>246</v>
      </c>
      <c r="E196" s="211" t="s">
        <v>554</v>
      </c>
      <c r="F196" s="212" t="s">
        <v>185</v>
      </c>
      <c r="G196" s="117"/>
      <c r="H196" s="121"/>
      <c r="I196" s="121"/>
      <c r="J196" s="121"/>
      <c r="K196" s="121"/>
      <c r="L196" s="121"/>
      <c r="M196" s="121"/>
      <c r="N196" s="121"/>
      <c r="O196" s="121"/>
      <c r="P196" s="122"/>
      <c r="Q196" s="122"/>
      <c r="R196" s="123">
        <v>72.099999999999994</v>
      </c>
      <c r="S196" s="123"/>
      <c r="T196" s="124">
        <v>72.099999999999994</v>
      </c>
    </row>
    <row r="197" spans="1:20">
      <c r="A197" s="234" t="s">
        <v>251</v>
      </c>
      <c r="B197" s="207"/>
      <c r="C197" s="207" t="s">
        <v>159</v>
      </c>
      <c r="D197" s="212"/>
      <c r="E197" s="212"/>
      <c r="F197" s="212"/>
      <c r="G197" s="113">
        <f>G198+G207</f>
        <v>0</v>
      </c>
      <c r="H197" s="113">
        <f t="shared" ref="H197:M197" si="47">H198+H207</f>
        <v>0</v>
      </c>
      <c r="I197" s="113">
        <f t="shared" si="47"/>
        <v>0</v>
      </c>
      <c r="J197" s="113">
        <f t="shared" si="47"/>
        <v>4491</v>
      </c>
      <c r="K197" s="113">
        <f t="shared" si="47"/>
        <v>0</v>
      </c>
      <c r="L197" s="113">
        <f t="shared" si="47"/>
        <v>6837.99</v>
      </c>
      <c r="M197" s="113">
        <f t="shared" si="47"/>
        <v>0</v>
      </c>
      <c r="N197" s="113">
        <f>N198</f>
        <v>4657.7139999999999</v>
      </c>
      <c r="O197" s="113">
        <f>O198</f>
        <v>0</v>
      </c>
      <c r="P197" s="114">
        <f>P198</f>
        <v>1515</v>
      </c>
      <c r="Q197" s="114">
        <f>Q198</f>
        <v>0</v>
      </c>
      <c r="R197" s="113">
        <f>R198</f>
        <v>1633.501</v>
      </c>
      <c r="S197" s="115"/>
      <c r="T197" s="116">
        <f>T198+T207</f>
        <v>19135.205000000002</v>
      </c>
    </row>
    <row r="198" spans="1:20">
      <c r="A198" s="235" t="s">
        <v>252</v>
      </c>
      <c r="B198" s="207"/>
      <c r="C198" s="207" t="s">
        <v>159</v>
      </c>
      <c r="D198" s="207" t="s">
        <v>129</v>
      </c>
      <c r="E198" s="212"/>
      <c r="F198" s="212"/>
      <c r="G198" s="113">
        <f>G199+G201+G203</f>
        <v>0</v>
      </c>
      <c r="H198" s="113">
        <f t="shared" ref="H198:Q198" si="48">H199+H201+H203</f>
        <v>0</v>
      </c>
      <c r="I198" s="113">
        <f t="shared" si="48"/>
        <v>0</v>
      </c>
      <c r="J198" s="113">
        <f t="shared" si="48"/>
        <v>4491</v>
      </c>
      <c r="K198" s="113">
        <f t="shared" si="48"/>
        <v>0</v>
      </c>
      <c r="L198" s="113">
        <f t="shared" si="48"/>
        <v>3337.99</v>
      </c>
      <c r="M198" s="113">
        <f t="shared" si="48"/>
        <v>0</v>
      </c>
      <c r="N198" s="113">
        <f t="shared" si="48"/>
        <v>4657.7139999999999</v>
      </c>
      <c r="O198" s="113">
        <f t="shared" si="48"/>
        <v>0</v>
      </c>
      <c r="P198" s="114">
        <f t="shared" si="48"/>
        <v>1515</v>
      </c>
      <c r="Q198" s="114">
        <f t="shared" si="48"/>
        <v>0</v>
      </c>
      <c r="R198" s="113">
        <f>R199+R201+R203+R205</f>
        <v>1633.501</v>
      </c>
      <c r="S198" s="113"/>
      <c r="T198" s="114">
        <f>T199+T201+T203+T205</f>
        <v>15635.205</v>
      </c>
    </row>
    <row r="199" spans="1:20" s="6" customFormat="1">
      <c r="A199" s="218" t="s">
        <v>591</v>
      </c>
      <c r="B199" s="209" t="s">
        <v>134</v>
      </c>
      <c r="C199" s="209" t="s">
        <v>159</v>
      </c>
      <c r="D199" s="209" t="s">
        <v>129</v>
      </c>
      <c r="E199" s="209" t="s">
        <v>592</v>
      </c>
      <c r="F199" s="207"/>
      <c r="G199" s="113"/>
      <c r="H199" s="125"/>
      <c r="I199" s="125"/>
      <c r="J199" s="125"/>
      <c r="K199" s="125"/>
      <c r="L199" s="125"/>
      <c r="M199" s="125"/>
      <c r="N199" s="125"/>
      <c r="O199" s="125"/>
      <c r="P199" s="126">
        <f>P200</f>
        <v>1515</v>
      </c>
      <c r="Q199" s="126">
        <f>Q200</f>
        <v>0</v>
      </c>
      <c r="R199" s="125"/>
      <c r="S199" s="125"/>
      <c r="T199" s="126">
        <f>T200</f>
        <v>1515</v>
      </c>
    </row>
    <row r="200" spans="1:20" ht="33.75">
      <c r="A200" s="214" t="s">
        <v>255</v>
      </c>
      <c r="B200" s="211" t="s">
        <v>134</v>
      </c>
      <c r="C200" s="211" t="s">
        <v>159</v>
      </c>
      <c r="D200" s="211" t="s">
        <v>129</v>
      </c>
      <c r="E200" s="211" t="s">
        <v>592</v>
      </c>
      <c r="F200" s="212" t="s">
        <v>256</v>
      </c>
      <c r="G200" s="117"/>
      <c r="H200" s="121"/>
      <c r="I200" s="121"/>
      <c r="J200" s="125"/>
      <c r="K200" s="125"/>
      <c r="L200" s="125"/>
      <c r="M200" s="125"/>
      <c r="N200" s="125"/>
      <c r="O200" s="125"/>
      <c r="P200" s="122">
        <v>1515</v>
      </c>
      <c r="Q200" s="122"/>
      <c r="R200" s="123"/>
      <c r="S200" s="123"/>
      <c r="T200" s="124">
        <v>1515</v>
      </c>
    </row>
    <row r="201" spans="1:20" s="6" customFormat="1" ht="22.5">
      <c r="A201" s="226" t="s">
        <v>253</v>
      </c>
      <c r="B201" s="209" t="s">
        <v>134</v>
      </c>
      <c r="C201" s="209" t="s">
        <v>159</v>
      </c>
      <c r="D201" s="209" t="s">
        <v>129</v>
      </c>
      <c r="E201" s="209" t="s">
        <v>254</v>
      </c>
      <c r="F201" s="207"/>
      <c r="G201" s="113"/>
      <c r="H201" s="125"/>
      <c r="I201" s="125"/>
      <c r="J201" s="125">
        <f>J202</f>
        <v>4491</v>
      </c>
      <c r="K201" s="125">
        <f>K202</f>
        <v>0</v>
      </c>
      <c r="L201" s="125">
        <f>L202</f>
        <v>3337.99</v>
      </c>
      <c r="M201" s="125"/>
      <c r="N201" s="125"/>
      <c r="O201" s="125"/>
      <c r="P201" s="126"/>
      <c r="Q201" s="126"/>
      <c r="R201" s="127"/>
      <c r="S201" s="127"/>
      <c r="T201" s="128">
        <f>T202</f>
        <v>7828.99</v>
      </c>
    </row>
    <row r="202" spans="1:20" ht="33.75">
      <c r="A202" s="214" t="s">
        <v>255</v>
      </c>
      <c r="B202" s="211" t="s">
        <v>134</v>
      </c>
      <c r="C202" s="211" t="s">
        <v>159</v>
      </c>
      <c r="D202" s="211" t="s">
        <v>129</v>
      </c>
      <c r="E202" s="211" t="s">
        <v>254</v>
      </c>
      <c r="F202" s="212" t="s">
        <v>256</v>
      </c>
      <c r="G202" s="117"/>
      <c r="H202" s="121"/>
      <c r="I202" s="121"/>
      <c r="J202" s="121">
        <v>4491</v>
      </c>
      <c r="K202" s="121"/>
      <c r="L202" s="121">
        <v>3337.99</v>
      </c>
      <c r="M202" s="121"/>
      <c r="N202" s="121"/>
      <c r="O202" s="121"/>
      <c r="P202" s="122"/>
      <c r="Q202" s="122"/>
      <c r="R202" s="123"/>
      <c r="S202" s="123"/>
      <c r="T202" s="124">
        <v>7828.99</v>
      </c>
    </row>
    <row r="203" spans="1:20" s="6" customFormat="1" ht="33.75">
      <c r="A203" s="236" t="s">
        <v>593</v>
      </c>
      <c r="B203" s="209" t="s">
        <v>134</v>
      </c>
      <c r="C203" s="209" t="s">
        <v>159</v>
      </c>
      <c r="D203" s="209" t="s">
        <v>129</v>
      </c>
      <c r="E203" s="209" t="s">
        <v>454</v>
      </c>
      <c r="F203" s="207"/>
      <c r="G203" s="113"/>
      <c r="H203" s="125"/>
      <c r="I203" s="125"/>
      <c r="J203" s="125"/>
      <c r="K203" s="125"/>
      <c r="L203" s="125"/>
      <c r="M203" s="125"/>
      <c r="N203" s="125">
        <f>N204</f>
        <v>4657.7139999999999</v>
      </c>
      <c r="O203" s="125">
        <f>O204</f>
        <v>0</v>
      </c>
      <c r="P203" s="126">
        <f>P204</f>
        <v>0</v>
      </c>
      <c r="Q203" s="126">
        <f>Q204</f>
        <v>0</v>
      </c>
      <c r="R203" s="127"/>
      <c r="S203" s="127"/>
      <c r="T203" s="128">
        <f>T204</f>
        <v>4657.7139999999999</v>
      </c>
    </row>
    <row r="204" spans="1:20" ht="33.75">
      <c r="A204" s="214" t="s">
        <v>255</v>
      </c>
      <c r="B204" s="211" t="s">
        <v>134</v>
      </c>
      <c r="C204" s="211" t="s">
        <v>159</v>
      </c>
      <c r="D204" s="211" t="s">
        <v>129</v>
      </c>
      <c r="E204" s="211" t="s">
        <v>454</v>
      </c>
      <c r="F204" s="212" t="s">
        <v>256</v>
      </c>
      <c r="G204" s="117"/>
      <c r="H204" s="121"/>
      <c r="I204" s="121"/>
      <c r="J204" s="121"/>
      <c r="K204" s="121"/>
      <c r="L204" s="121"/>
      <c r="M204" s="121"/>
      <c r="N204" s="121">
        <v>4657.7139999999999</v>
      </c>
      <c r="O204" s="121"/>
      <c r="P204" s="122"/>
      <c r="Q204" s="122"/>
      <c r="R204" s="123"/>
      <c r="S204" s="123"/>
      <c r="T204" s="124">
        <v>4657.7139999999999</v>
      </c>
    </row>
    <row r="205" spans="1:20" s="6" customFormat="1">
      <c r="A205" s="221" t="s">
        <v>594</v>
      </c>
      <c r="B205" s="209" t="s">
        <v>134</v>
      </c>
      <c r="C205" s="209" t="s">
        <v>159</v>
      </c>
      <c r="D205" s="209" t="s">
        <v>129</v>
      </c>
      <c r="E205" s="209" t="s">
        <v>595</v>
      </c>
      <c r="F205" s="207"/>
      <c r="G205" s="113"/>
      <c r="H205" s="125"/>
      <c r="I205" s="125"/>
      <c r="J205" s="125"/>
      <c r="K205" s="125"/>
      <c r="L205" s="125"/>
      <c r="M205" s="125"/>
      <c r="N205" s="125"/>
      <c r="O205" s="125"/>
      <c r="P205" s="126"/>
      <c r="Q205" s="126"/>
      <c r="R205" s="127">
        <f>R206</f>
        <v>1633.501</v>
      </c>
      <c r="S205" s="127"/>
      <c r="T205" s="128">
        <f>T206</f>
        <v>1633.501</v>
      </c>
    </row>
    <row r="206" spans="1:20" ht="33.75">
      <c r="A206" s="214" t="s">
        <v>255</v>
      </c>
      <c r="B206" s="211" t="s">
        <v>134</v>
      </c>
      <c r="C206" s="211" t="s">
        <v>159</v>
      </c>
      <c r="D206" s="211" t="s">
        <v>129</v>
      </c>
      <c r="E206" s="211" t="s">
        <v>595</v>
      </c>
      <c r="F206" s="212" t="s">
        <v>256</v>
      </c>
      <c r="G206" s="117"/>
      <c r="H206" s="121"/>
      <c r="I206" s="121"/>
      <c r="J206" s="121"/>
      <c r="K206" s="121"/>
      <c r="L206" s="121"/>
      <c r="M206" s="121"/>
      <c r="N206" s="121"/>
      <c r="O206" s="121"/>
      <c r="P206" s="122"/>
      <c r="Q206" s="122"/>
      <c r="R206" s="138">
        <v>1633.501</v>
      </c>
      <c r="S206" s="123"/>
      <c r="T206" s="124">
        <v>1633.501</v>
      </c>
    </row>
    <row r="207" spans="1:20" s="6" customFormat="1">
      <c r="A207" s="237" t="s">
        <v>596</v>
      </c>
      <c r="B207" s="209"/>
      <c r="C207" s="209" t="s">
        <v>159</v>
      </c>
      <c r="D207" s="209" t="s">
        <v>193</v>
      </c>
      <c r="E207" s="209"/>
      <c r="F207" s="207"/>
      <c r="G207" s="113">
        <f>G208</f>
        <v>0</v>
      </c>
      <c r="H207" s="113">
        <f t="shared" ref="H207:T207" si="49">H208</f>
        <v>0</v>
      </c>
      <c r="I207" s="113">
        <f t="shared" si="49"/>
        <v>0</v>
      </c>
      <c r="J207" s="113">
        <f t="shared" si="49"/>
        <v>0</v>
      </c>
      <c r="K207" s="113">
        <f t="shared" si="49"/>
        <v>0</v>
      </c>
      <c r="L207" s="113">
        <f t="shared" si="49"/>
        <v>3500</v>
      </c>
      <c r="M207" s="113">
        <f t="shared" si="49"/>
        <v>0</v>
      </c>
      <c r="N207" s="113">
        <f t="shared" si="49"/>
        <v>0</v>
      </c>
      <c r="O207" s="113">
        <f t="shared" si="49"/>
        <v>0</v>
      </c>
      <c r="P207" s="114">
        <f t="shared" si="49"/>
        <v>0</v>
      </c>
      <c r="Q207" s="114">
        <f t="shared" si="49"/>
        <v>0</v>
      </c>
      <c r="R207" s="115"/>
      <c r="S207" s="115"/>
      <c r="T207" s="116">
        <f t="shared" si="49"/>
        <v>3500</v>
      </c>
    </row>
    <row r="208" spans="1:20" ht="33.75">
      <c r="A208" s="230" t="s">
        <v>426</v>
      </c>
      <c r="B208" s="211" t="s">
        <v>134</v>
      </c>
      <c r="C208" s="211" t="s">
        <v>159</v>
      </c>
      <c r="D208" s="211" t="s">
        <v>193</v>
      </c>
      <c r="E208" s="211" t="s">
        <v>425</v>
      </c>
      <c r="F208" s="212"/>
      <c r="G208" s="117"/>
      <c r="H208" s="121"/>
      <c r="I208" s="121"/>
      <c r="J208" s="121"/>
      <c r="K208" s="121"/>
      <c r="L208" s="121">
        <f>L209</f>
        <v>3500</v>
      </c>
      <c r="M208" s="121">
        <f>M209</f>
        <v>0</v>
      </c>
      <c r="N208" s="121"/>
      <c r="O208" s="121"/>
      <c r="P208" s="122"/>
      <c r="Q208" s="122"/>
      <c r="R208" s="123"/>
      <c r="S208" s="123"/>
      <c r="T208" s="124">
        <f>T209</f>
        <v>3500</v>
      </c>
    </row>
    <row r="209" spans="1:22">
      <c r="A209" s="227" t="s">
        <v>427</v>
      </c>
      <c r="B209" s="211" t="s">
        <v>134</v>
      </c>
      <c r="C209" s="211" t="s">
        <v>159</v>
      </c>
      <c r="D209" s="211" t="s">
        <v>193</v>
      </c>
      <c r="E209" s="211" t="s">
        <v>425</v>
      </c>
      <c r="F209" s="212" t="s">
        <v>428</v>
      </c>
      <c r="G209" s="117"/>
      <c r="H209" s="121"/>
      <c r="I209" s="121"/>
      <c r="J209" s="121"/>
      <c r="K209" s="121"/>
      <c r="L209" s="121">
        <v>3500</v>
      </c>
      <c r="M209" s="121"/>
      <c r="N209" s="121"/>
      <c r="O209" s="121"/>
      <c r="P209" s="122"/>
      <c r="Q209" s="122"/>
      <c r="R209" s="123"/>
      <c r="S209" s="123"/>
      <c r="T209" s="124">
        <v>3500</v>
      </c>
    </row>
    <row r="210" spans="1:22">
      <c r="A210" s="216" t="s">
        <v>257</v>
      </c>
      <c r="B210" s="209"/>
      <c r="C210" s="209" t="s">
        <v>163</v>
      </c>
      <c r="D210" s="209"/>
      <c r="E210" s="209"/>
      <c r="F210" s="207"/>
      <c r="G210" s="113">
        <f t="shared" ref="G210:T212" si="50">G211</f>
        <v>150</v>
      </c>
      <c r="H210" s="113">
        <f t="shared" si="50"/>
        <v>0</v>
      </c>
      <c r="I210" s="113">
        <f t="shared" si="50"/>
        <v>0</v>
      </c>
      <c r="J210" s="113">
        <f t="shared" si="50"/>
        <v>0</v>
      </c>
      <c r="K210" s="113">
        <f t="shared" si="50"/>
        <v>0</v>
      </c>
      <c r="L210" s="113">
        <f t="shared" si="50"/>
        <v>0</v>
      </c>
      <c r="M210" s="113">
        <f t="shared" si="50"/>
        <v>0</v>
      </c>
      <c r="N210" s="113">
        <f t="shared" si="50"/>
        <v>0</v>
      </c>
      <c r="O210" s="113">
        <f t="shared" si="50"/>
        <v>0</v>
      </c>
      <c r="P210" s="114">
        <f t="shared" si="50"/>
        <v>0</v>
      </c>
      <c r="Q210" s="114">
        <f t="shared" si="50"/>
        <v>0</v>
      </c>
      <c r="R210" s="115"/>
      <c r="S210" s="115"/>
      <c r="T210" s="116">
        <f t="shared" si="50"/>
        <v>150</v>
      </c>
    </row>
    <row r="211" spans="1:22">
      <c r="A211" s="216" t="s">
        <v>258</v>
      </c>
      <c r="B211" s="209"/>
      <c r="C211" s="209" t="s">
        <v>163</v>
      </c>
      <c r="D211" s="209" t="s">
        <v>159</v>
      </c>
      <c r="E211" s="209"/>
      <c r="F211" s="207"/>
      <c r="G211" s="113">
        <f t="shared" si="50"/>
        <v>150</v>
      </c>
      <c r="H211" s="113">
        <f t="shared" si="50"/>
        <v>0</v>
      </c>
      <c r="I211" s="113">
        <f t="shared" si="50"/>
        <v>0</v>
      </c>
      <c r="J211" s="113">
        <f t="shared" si="50"/>
        <v>0</v>
      </c>
      <c r="K211" s="113">
        <f t="shared" si="50"/>
        <v>0</v>
      </c>
      <c r="L211" s="113">
        <f t="shared" si="50"/>
        <v>0</v>
      </c>
      <c r="M211" s="113">
        <f t="shared" si="50"/>
        <v>0</v>
      </c>
      <c r="N211" s="113">
        <f t="shared" si="50"/>
        <v>0</v>
      </c>
      <c r="O211" s="113">
        <f t="shared" si="50"/>
        <v>0</v>
      </c>
      <c r="P211" s="114">
        <f t="shared" si="50"/>
        <v>0</v>
      </c>
      <c r="Q211" s="114">
        <f t="shared" si="50"/>
        <v>0</v>
      </c>
      <c r="R211" s="115"/>
      <c r="S211" s="115"/>
      <c r="T211" s="116">
        <f t="shared" si="50"/>
        <v>150</v>
      </c>
    </row>
    <row r="212" spans="1:22" s="6" customFormat="1">
      <c r="A212" s="216" t="s">
        <v>190</v>
      </c>
      <c r="B212" s="209" t="s">
        <v>134</v>
      </c>
      <c r="C212" s="209" t="s">
        <v>163</v>
      </c>
      <c r="D212" s="209" t="s">
        <v>159</v>
      </c>
      <c r="E212" s="209" t="s">
        <v>191</v>
      </c>
      <c r="F212" s="207"/>
      <c r="G212" s="113">
        <f t="shared" si="50"/>
        <v>150</v>
      </c>
      <c r="H212" s="113">
        <f t="shared" si="50"/>
        <v>0</v>
      </c>
      <c r="I212" s="113">
        <f t="shared" si="50"/>
        <v>0</v>
      </c>
      <c r="J212" s="113">
        <f t="shared" si="50"/>
        <v>0</v>
      </c>
      <c r="K212" s="113">
        <f t="shared" si="50"/>
        <v>0</v>
      </c>
      <c r="L212" s="113">
        <f t="shared" si="50"/>
        <v>0</v>
      </c>
      <c r="M212" s="113">
        <f t="shared" si="50"/>
        <v>0</v>
      </c>
      <c r="N212" s="113">
        <f t="shared" si="50"/>
        <v>0</v>
      </c>
      <c r="O212" s="113">
        <f t="shared" si="50"/>
        <v>0</v>
      </c>
      <c r="P212" s="114">
        <f t="shared" si="50"/>
        <v>0</v>
      </c>
      <c r="Q212" s="114">
        <f t="shared" si="50"/>
        <v>0</v>
      </c>
      <c r="R212" s="115"/>
      <c r="S212" s="115"/>
      <c r="T212" s="116">
        <f t="shared" si="50"/>
        <v>150</v>
      </c>
    </row>
    <row r="213" spans="1:22">
      <c r="A213" s="214" t="s">
        <v>151</v>
      </c>
      <c r="B213" s="211" t="s">
        <v>134</v>
      </c>
      <c r="C213" s="211" t="s">
        <v>163</v>
      </c>
      <c r="D213" s="211" t="s">
        <v>159</v>
      </c>
      <c r="E213" s="211" t="s">
        <v>191</v>
      </c>
      <c r="F213" s="212" t="s">
        <v>152</v>
      </c>
      <c r="G213" s="117">
        <v>150</v>
      </c>
      <c r="H213" s="121"/>
      <c r="I213" s="121"/>
      <c r="J213" s="121"/>
      <c r="K213" s="121"/>
      <c r="L213" s="121"/>
      <c r="M213" s="121"/>
      <c r="N213" s="121"/>
      <c r="O213" s="121"/>
      <c r="P213" s="122"/>
      <c r="Q213" s="122"/>
      <c r="R213" s="123"/>
      <c r="S213" s="123"/>
      <c r="T213" s="124">
        <v>150</v>
      </c>
    </row>
    <row r="214" spans="1:22">
      <c r="A214" s="208" t="s">
        <v>259</v>
      </c>
      <c r="B214" s="209"/>
      <c r="C214" s="209" t="s">
        <v>260</v>
      </c>
      <c r="D214" s="209"/>
      <c r="E214" s="209"/>
      <c r="F214" s="207"/>
      <c r="G214" s="113">
        <f t="shared" ref="G214:R214" si="51">G215+G248+G328+G357</f>
        <v>1122561.43</v>
      </c>
      <c r="H214" s="113">
        <f t="shared" si="51"/>
        <v>33381.801360000005</v>
      </c>
      <c r="I214" s="113">
        <f t="shared" si="51"/>
        <v>-3.637978807091713E-12</v>
      </c>
      <c r="J214" s="113">
        <f t="shared" si="51"/>
        <v>35669.577140000001</v>
      </c>
      <c r="K214" s="113">
        <f t="shared" si="51"/>
        <v>0</v>
      </c>
      <c r="L214" s="113">
        <f t="shared" si="51"/>
        <v>17726.812829999999</v>
      </c>
      <c r="M214" s="113">
        <f t="shared" si="51"/>
        <v>4528.8</v>
      </c>
      <c r="N214" s="113">
        <f t="shared" si="51"/>
        <v>4971.6840000000002</v>
      </c>
      <c r="O214" s="113">
        <f t="shared" si="51"/>
        <v>760.78902000000039</v>
      </c>
      <c r="P214" s="114">
        <f t="shared" si="51"/>
        <v>10973.9313</v>
      </c>
      <c r="Q214" s="114">
        <f t="shared" si="51"/>
        <v>-3803.9360000000006</v>
      </c>
      <c r="R214" s="113">
        <f t="shared" si="51"/>
        <v>44554.230120000007</v>
      </c>
      <c r="S214" s="113">
        <f>S215+S248+S328+S357</f>
        <v>-480.13804999999996</v>
      </c>
      <c r="T214" s="116">
        <f>T215+T248+T328+T357</f>
        <v>1221583.5965800001</v>
      </c>
      <c r="U214" s="8"/>
    </row>
    <row r="215" spans="1:22" s="6" customFormat="1" ht="14.25" customHeight="1">
      <c r="A215" s="208" t="s">
        <v>261</v>
      </c>
      <c r="B215" s="209"/>
      <c r="C215" s="209" t="s">
        <v>260</v>
      </c>
      <c r="D215" s="209" t="s">
        <v>129</v>
      </c>
      <c r="E215" s="209"/>
      <c r="F215" s="207"/>
      <c r="G215" s="113">
        <f t="shared" ref="G215:L215" si="52">G218+G230+G216+G233+G235+G239+G242</f>
        <v>247369.33</v>
      </c>
      <c r="H215" s="113">
        <f t="shared" si="52"/>
        <v>11940.88672</v>
      </c>
      <c r="I215" s="113">
        <f t="shared" si="52"/>
        <v>3249.9999999999964</v>
      </c>
      <c r="J215" s="113">
        <f t="shared" si="52"/>
        <v>4079.1107099999999</v>
      </c>
      <c r="K215" s="113">
        <f t="shared" si="52"/>
        <v>0</v>
      </c>
      <c r="L215" s="113">
        <f t="shared" si="52"/>
        <v>9373.2999999999993</v>
      </c>
      <c r="M215" s="113">
        <f>M218+M230+M216+M233+M235+M239+M242+M237</f>
        <v>-500</v>
      </c>
      <c r="N215" s="113">
        <f>N218+N230+N216+N233+N235+N239+N242+N237</f>
        <v>0</v>
      </c>
      <c r="O215" s="113">
        <f>O218+O230+O216+O233+O235+O239+O242+O237</f>
        <v>-884.48545999999965</v>
      </c>
      <c r="P215" s="114">
        <f>P218+P230+P216+P233+P235+P239+P242+P237</f>
        <v>1221.1032399999999</v>
      </c>
      <c r="Q215" s="114">
        <f>Q218+Q230+Q216+Q233+Q235+Q239+Q242+Q237</f>
        <v>-424.70867999999996</v>
      </c>
      <c r="R215" s="113">
        <f>R218+R230+R216+R233+R235+R239+R242+R237+R245</f>
        <v>6246.1051200000002</v>
      </c>
      <c r="S215" s="113">
        <f>S218+S230+S216+S233+S235+S239+S242+S237+S245</f>
        <v>1138.5636100000002</v>
      </c>
      <c r="T215" s="114">
        <f>T218+T230+T216+T233+T235+T239+T242+T237+T245</f>
        <v>279896.59984000004</v>
      </c>
      <c r="U215" s="10"/>
    </row>
    <row r="216" spans="1:22" s="6" customFormat="1" ht="25.5" customHeight="1">
      <c r="A216" s="238" t="s">
        <v>262</v>
      </c>
      <c r="B216" s="211" t="s">
        <v>134</v>
      </c>
      <c r="C216" s="211" t="s">
        <v>260</v>
      </c>
      <c r="D216" s="211" t="s">
        <v>129</v>
      </c>
      <c r="E216" s="211" t="s">
        <v>263</v>
      </c>
      <c r="F216" s="212"/>
      <c r="G216" s="117">
        <f t="shared" ref="G216:T216" si="53">G217</f>
        <v>0</v>
      </c>
      <c r="H216" s="117">
        <f t="shared" si="53"/>
        <v>0</v>
      </c>
      <c r="I216" s="117">
        <f t="shared" si="53"/>
        <v>0</v>
      </c>
      <c r="J216" s="117">
        <f t="shared" si="53"/>
        <v>2929.1107099999999</v>
      </c>
      <c r="K216" s="117">
        <f t="shared" si="53"/>
        <v>0</v>
      </c>
      <c r="L216" s="117">
        <f t="shared" si="53"/>
        <v>0</v>
      </c>
      <c r="M216" s="117">
        <f t="shared" si="53"/>
        <v>-2929.1107099999999</v>
      </c>
      <c r="N216" s="117"/>
      <c r="O216" s="117"/>
      <c r="P216" s="118"/>
      <c r="Q216" s="118"/>
      <c r="R216" s="119"/>
      <c r="S216" s="119"/>
      <c r="T216" s="120">
        <f t="shared" si="53"/>
        <v>0</v>
      </c>
    </row>
    <row r="217" spans="1:22" s="6" customFormat="1" ht="38.25" customHeight="1">
      <c r="A217" s="210" t="s">
        <v>264</v>
      </c>
      <c r="B217" s="211" t="s">
        <v>134</v>
      </c>
      <c r="C217" s="211" t="s">
        <v>260</v>
      </c>
      <c r="D217" s="211" t="s">
        <v>129</v>
      </c>
      <c r="E217" s="211" t="s">
        <v>263</v>
      </c>
      <c r="F217" s="212" t="s">
        <v>265</v>
      </c>
      <c r="G217" s="117"/>
      <c r="H217" s="117"/>
      <c r="I217" s="117"/>
      <c r="J217" s="117">
        <v>2929.1107099999999</v>
      </c>
      <c r="K217" s="117"/>
      <c r="L217" s="117"/>
      <c r="M217" s="117">
        <v>-2929.1107099999999</v>
      </c>
      <c r="N217" s="117"/>
      <c r="O217" s="117"/>
      <c r="P217" s="118"/>
      <c r="Q217" s="118"/>
      <c r="R217" s="119"/>
      <c r="S217" s="119"/>
      <c r="T217" s="120">
        <f>J217+M217</f>
        <v>0</v>
      </c>
    </row>
    <row r="218" spans="1:22" s="6" customFormat="1">
      <c r="A218" s="208" t="s">
        <v>266</v>
      </c>
      <c r="B218" s="209" t="s">
        <v>134</v>
      </c>
      <c r="C218" s="209" t="s">
        <v>260</v>
      </c>
      <c r="D218" s="209" t="s">
        <v>129</v>
      </c>
      <c r="E218" s="209" t="s">
        <v>267</v>
      </c>
      <c r="F218" s="207"/>
      <c r="G218" s="113">
        <f>G219+G227+G230+G233+G235+G239</f>
        <v>247369.33</v>
      </c>
      <c r="H218" s="113">
        <f t="shared" ref="H218:S218" si="54">H219+H227</f>
        <v>5007</v>
      </c>
      <c r="I218" s="113">
        <f t="shared" si="54"/>
        <v>3249.9999999999964</v>
      </c>
      <c r="J218" s="113">
        <f t="shared" si="54"/>
        <v>550</v>
      </c>
      <c r="K218" s="113">
        <f t="shared" si="54"/>
        <v>0</v>
      </c>
      <c r="L218" s="113">
        <f>L219+L227</f>
        <v>0</v>
      </c>
      <c r="M218" s="113">
        <f t="shared" si="54"/>
        <v>-500.00000000000006</v>
      </c>
      <c r="N218" s="113">
        <f t="shared" si="54"/>
        <v>0</v>
      </c>
      <c r="O218" s="113">
        <f t="shared" si="54"/>
        <v>-884.48545999999965</v>
      </c>
      <c r="P218" s="114">
        <f t="shared" si="54"/>
        <v>130</v>
      </c>
      <c r="Q218" s="114">
        <f t="shared" si="54"/>
        <v>-424.70867999999996</v>
      </c>
      <c r="R218" s="113">
        <f t="shared" si="54"/>
        <v>101.98012</v>
      </c>
      <c r="S218" s="113">
        <f t="shared" si="54"/>
        <v>1138.5636100000002</v>
      </c>
      <c r="T218" s="116">
        <f>T219+T227+T226</f>
        <v>253259.89395999999</v>
      </c>
    </row>
    <row r="219" spans="1:22">
      <c r="A219" s="210" t="s">
        <v>176</v>
      </c>
      <c r="B219" s="211" t="s">
        <v>134</v>
      </c>
      <c r="C219" s="211" t="s">
        <v>260</v>
      </c>
      <c r="D219" s="211" t="s">
        <v>129</v>
      </c>
      <c r="E219" s="211" t="s">
        <v>268</v>
      </c>
      <c r="F219" s="212"/>
      <c r="G219" s="117">
        <f t="shared" ref="G219:P219" si="55">G225+G224+G223+G221+G220+G222</f>
        <v>31377.9</v>
      </c>
      <c r="H219" s="117">
        <f t="shared" si="55"/>
        <v>1316</v>
      </c>
      <c r="I219" s="117">
        <f t="shared" si="55"/>
        <v>11868.899999999998</v>
      </c>
      <c r="J219" s="117">
        <f t="shared" si="55"/>
        <v>0</v>
      </c>
      <c r="K219" s="117">
        <f t="shared" si="55"/>
        <v>-2000</v>
      </c>
      <c r="L219" s="117">
        <f t="shared" si="55"/>
        <v>0</v>
      </c>
      <c r="M219" s="117">
        <f t="shared" si="55"/>
        <v>-500.00000000000006</v>
      </c>
      <c r="N219" s="117">
        <f t="shared" si="55"/>
        <v>0</v>
      </c>
      <c r="O219" s="117">
        <f t="shared" si="55"/>
        <v>-207.01846</v>
      </c>
      <c r="P219" s="118">
        <f t="shared" si="55"/>
        <v>130</v>
      </c>
      <c r="Q219" s="118">
        <f>Q225+Q224+Q223+Q221+Q220+Q222</f>
        <v>670.66066000000001</v>
      </c>
      <c r="R219" s="117">
        <f>R225+R224+R223+R221+R220+R222</f>
        <v>101.98012</v>
      </c>
      <c r="S219" s="117">
        <f>S225+S224+S223+S221+S220+S222</f>
        <v>680.44622000000004</v>
      </c>
      <c r="T219" s="120">
        <f>T225+T224+T223+T221+T220+T222</f>
        <v>42064.023300000001</v>
      </c>
    </row>
    <row r="220" spans="1:22">
      <c r="A220" s="213" t="s">
        <v>139</v>
      </c>
      <c r="B220" s="211" t="s">
        <v>134</v>
      </c>
      <c r="C220" s="211" t="s">
        <v>260</v>
      </c>
      <c r="D220" s="211" t="s">
        <v>129</v>
      </c>
      <c r="E220" s="211" t="s">
        <v>268</v>
      </c>
      <c r="F220" s="212" t="s">
        <v>185</v>
      </c>
      <c r="G220" s="117">
        <f>14294.7+4317</f>
        <v>18611.7</v>
      </c>
      <c r="H220" s="121"/>
      <c r="I220" s="121">
        <v>5478.7</v>
      </c>
      <c r="J220" s="121"/>
      <c r="K220" s="121"/>
      <c r="L220" s="121"/>
      <c r="M220" s="121"/>
      <c r="N220" s="121"/>
      <c r="O220" s="121"/>
      <c r="P220" s="122"/>
      <c r="Q220" s="122">
        <v>105.2</v>
      </c>
      <c r="R220" s="123"/>
      <c r="S220" s="123">
        <f>49.655+1.5</f>
        <v>51.155000000000001</v>
      </c>
      <c r="T220" s="124">
        <v>23467.171149999998</v>
      </c>
    </row>
    <row r="221" spans="1:22">
      <c r="A221" s="214" t="s">
        <v>142</v>
      </c>
      <c r="B221" s="211" t="s">
        <v>134</v>
      </c>
      <c r="C221" s="211" t="s">
        <v>260</v>
      </c>
      <c r="D221" s="211" t="s">
        <v>129</v>
      </c>
      <c r="E221" s="211" t="s">
        <v>268</v>
      </c>
      <c r="F221" s="212" t="s">
        <v>235</v>
      </c>
      <c r="G221" s="117">
        <f>812.5+45.3+3.1</f>
        <v>860.9</v>
      </c>
      <c r="H221" s="121"/>
      <c r="I221" s="121">
        <v>270.39999999999998</v>
      </c>
      <c r="J221" s="121"/>
      <c r="K221" s="121"/>
      <c r="L221" s="121"/>
      <c r="M221" s="121">
        <v>-37.065800000000003</v>
      </c>
      <c r="N221" s="121"/>
      <c r="O221" s="121">
        <f>13-4.4-4.0567-40.95</f>
        <v>-36.406700000000001</v>
      </c>
      <c r="P221" s="122"/>
      <c r="Q221" s="122">
        <f>-4.7+1.9+0.35+1.41-3.6-211.316+110.5511</f>
        <v>-105.40490000000001</v>
      </c>
      <c r="R221" s="123"/>
      <c r="S221" s="123">
        <f>-85.9801+3.75-28.375+3.75+1.4-30.799-1.5</f>
        <v>-137.75409999999999</v>
      </c>
      <c r="T221" s="124">
        <v>745.09860000000003</v>
      </c>
    </row>
    <row r="222" spans="1:22" ht="22.5">
      <c r="A222" s="214" t="s">
        <v>149</v>
      </c>
      <c r="B222" s="211" t="s">
        <v>134</v>
      </c>
      <c r="C222" s="211" t="s">
        <v>260</v>
      </c>
      <c r="D222" s="211" t="s">
        <v>129</v>
      </c>
      <c r="E222" s="211" t="s">
        <v>268</v>
      </c>
      <c r="F222" s="212" t="s">
        <v>150</v>
      </c>
      <c r="G222" s="117"/>
      <c r="H222" s="121"/>
      <c r="I222" s="121">
        <v>1</v>
      </c>
      <c r="J222" s="121"/>
      <c r="K222" s="121"/>
      <c r="L222" s="121"/>
      <c r="M222" s="121"/>
      <c r="N222" s="121"/>
      <c r="O222" s="121"/>
      <c r="P222" s="122"/>
      <c r="Q222" s="122">
        <v>1.2</v>
      </c>
      <c r="R222" s="123"/>
      <c r="S222" s="123">
        <f>1.2+1.2+1.2</f>
        <v>3.5999999999999996</v>
      </c>
      <c r="T222" s="124">
        <v>5.8</v>
      </c>
    </row>
    <row r="223" spans="1:22">
      <c r="A223" s="214" t="s">
        <v>151</v>
      </c>
      <c r="B223" s="211" t="s">
        <v>134</v>
      </c>
      <c r="C223" s="211" t="s">
        <v>260</v>
      </c>
      <c r="D223" s="211" t="s">
        <v>129</v>
      </c>
      <c r="E223" s="211" t="s">
        <v>268</v>
      </c>
      <c r="F223" s="212" t="s">
        <v>152</v>
      </c>
      <c r="G223" s="117">
        <f>7393.1+3100+1370</f>
        <v>11863.1</v>
      </c>
      <c r="H223" s="121">
        <f>572+244+500</f>
        <v>1316</v>
      </c>
      <c r="I223" s="121">
        <f>3750+2656.4-3-500</f>
        <v>5903.4</v>
      </c>
      <c r="J223" s="121"/>
      <c r="K223" s="121">
        <f>-2000-9.4-2.5-1.35-2.8</f>
        <v>-2016.05</v>
      </c>
      <c r="L223" s="121"/>
      <c r="M223" s="121">
        <f>-4.3-4.1-40.95+37.0658-500</f>
        <v>-512.28420000000006</v>
      </c>
      <c r="N223" s="121"/>
      <c r="O223" s="121">
        <f>-1-2.4-14+4.4+4.0567-0.1-0.2-0.1+40.95+35.83+77.919+30-384.46746+21.696</f>
        <v>-187.41576000000001</v>
      </c>
      <c r="P223" s="122">
        <v>130</v>
      </c>
      <c r="Q223" s="122">
        <f>4.7-1.9-0.35-1.69053+156.69456-1.41-1.2+88.5+221+95+17.316-1.2</f>
        <v>575.46002999999996</v>
      </c>
      <c r="R223" s="123">
        <f>65.77743+36.20269</f>
        <v>101.98012</v>
      </c>
      <c r="S223" s="123">
        <f>88.59792-1-3.752+28.375-1.2-1.2-0.0015-3.75-1.4+84.47676+151.7708+36.61+1.653-5.50466+377.99508+69.92-8.108</f>
        <v>813.48239999999998</v>
      </c>
      <c r="T223" s="124">
        <v>17503.203170000001</v>
      </c>
      <c r="V223" s="8"/>
    </row>
    <row r="224" spans="1:22">
      <c r="A224" s="217" t="s">
        <v>155</v>
      </c>
      <c r="B224" s="211" t="s">
        <v>134</v>
      </c>
      <c r="C224" s="211" t="s">
        <v>260</v>
      </c>
      <c r="D224" s="211" t="s">
        <v>129</v>
      </c>
      <c r="E224" s="211" t="s">
        <v>268</v>
      </c>
      <c r="F224" s="212" t="s">
        <v>156</v>
      </c>
      <c r="G224" s="117">
        <v>42.2</v>
      </c>
      <c r="H224" s="121"/>
      <c r="I224" s="121">
        <v>213.21</v>
      </c>
      <c r="J224" s="121"/>
      <c r="K224" s="121"/>
      <c r="L224" s="121"/>
      <c r="M224" s="121">
        <f>4.3+4.1+40.95</f>
        <v>49.35</v>
      </c>
      <c r="N224" s="121"/>
      <c r="O224" s="121">
        <f>33.7-21.696</f>
        <v>12.004000000000001</v>
      </c>
      <c r="P224" s="122"/>
      <c r="Q224" s="122">
        <f>1.69053-0.2-106.285+194</f>
        <v>89.20553000000001</v>
      </c>
      <c r="R224" s="123"/>
      <c r="S224" s="123">
        <f>-1.87455+0.0015-50.624-1.653+8.108</f>
        <v>-46.042050000000003</v>
      </c>
      <c r="T224" s="124">
        <v>323.00445000000002</v>
      </c>
    </row>
    <row r="225" spans="1:23">
      <c r="A225" s="217" t="s">
        <v>157</v>
      </c>
      <c r="B225" s="211" t="s">
        <v>134</v>
      </c>
      <c r="C225" s="211" t="s">
        <v>260</v>
      </c>
      <c r="D225" s="211" t="s">
        <v>129</v>
      </c>
      <c r="E225" s="211" t="s">
        <v>268</v>
      </c>
      <c r="F225" s="212" t="s">
        <v>158</v>
      </c>
      <c r="G225" s="117"/>
      <c r="H225" s="121"/>
      <c r="I225" s="121">
        <f>0.19+2</f>
        <v>2.19</v>
      </c>
      <c r="J225" s="121"/>
      <c r="K225" s="121">
        <f>9.4+2.5+1.35+2.8</f>
        <v>16.05</v>
      </c>
      <c r="L225" s="121"/>
      <c r="M225" s="121"/>
      <c r="N225" s="121"/>
      <c r="O225" s="121">
        <f>1+2.4+1+0.1+0.2+0.1</f>
        <v>4.8</v>
      </c>
      <c r="P225" s="122"/>
      <c r="Q225" s="122">
        <f>0.2+1.2+3.6</f>
        <v>5</v>
      </c>
      <c r="R225" s="123"/>
      <c r="S225" s="123">
        <f>-0.74327+1+0.002-4.25376</f>
        <v>-3.9950299999999999</v>
      </c>
      <c r="T225" s="124">
        <v>19.745930000000001</v>
      </c>
    </row>
    <row r="226" spans="1:23">
      <c r="A226" s="214" t="s">
        <v>151</v>
      </c>
      <c r="B226" s="211" t="s">
        <v>134</v>
      </c>
      <c r="C226" s="211" t="s">
        <v>260</v>
      </c>
      <c r="D226" s="211" t="s">
        <v>129</v>
      </c>
      <c r="E226" s="211" t="s">
        <v>281</v>
      </c>
      <c r="F226" s="212" t="s">
        <v>152</v>
      </c>
      <c r="G226" s="117"/>
      <c r="H226" s="121"/>
      <c r="I226" s="121"/>
      <c r="J226" s="121"/>
      <c r="K226" s="121"/>
      <c r="L226" s="121"/>
      <c r="M226" s="121"/>
      <c r="N226" s="121"/>
      <c r="O226" s="121"/>
      <c r="P226" s="122"/>
      <c r="Q226" s="122"/>
      <c r="R226" s="123"/>
      <c r="S226" s="123"/>
      <c r="T226" s="124">
        <v>37</v>
      </c>
    </row>
    <row r="227" spans="1:23">
      <c r="A227" s="210" t="s">
        <v>176</v>
      </c>
      <c r="B227" s="211" t="s">
        <v>134</v>
      </c>
      <c r="C227" s="211" t="s">
        <v>260</v>
      </c>
      <c r="D227" s="211" t="s">
        <v>129</v>
      </c>
      <c r="E227" s="211" t="s">
        <v>268</v>
      </c>
      <c r="F227" s="212"/>
      <c r="G227" s="117">
        <f>G228+G229</f>
        <v>215991.43</v>
      </c>
      <c r="H227" s="117">
        <f>H228+H229</f>
        <v>3691</v>
      </c>
      <c r="I227" s="117">
        <f>I228+I229</f>
        <v>-8618.9000000000015</v>
      </c>
      <c r="J227" s="117">
        <f>J228+J229</f>
        <v>550</v>
      </c>
      <c r="K227" s="117">
        <f>K228+K229</f>
        <v>2000</v>
      </c>
      <c r="L227" s="117"/>
      <c r="M227" s="117"/>
      <c r="N227" s="117"/>
      <c r="O227" s="117">
        <f t="shared" ref="O227:T227" si="56">O228+O229</f>
        <v>-677.46699999999964</v>
      </c>
      <c r="P227" s="118">
        <f t="shared" si="56"/>
        <v>0</v>
      </c>
      <c r="Q227" s="118">
        <f t="shared" si="56"/>
        <v>-1095.36934</v>
      </c>
      <c r="R227" s="117">
        <f t="shared" si="56"/>
        <v>0</v>
      </c>
      <c r="S227" s="117">
        <f t="shared" si="56"/>
        <v>458.11739000000011</v>
      </c>
      <c r="T227" s="120">
        <f t="shared" si="56"/>
        <v>211158.87065999999</v>
      </c>
    </row>
    <row r="228" spans="1:23" ht="33.75">
      <c r="A228" s="229" t="s">
        <v>269</v>
      </c>
      <c r="B228" s="211" t="s">
        <v>134</v>
      </c>
      <c r="C228" s="211" t="s">
        <v>260</v>
      </c>
      <c r="D228" s="211" t="s">
        <v>129</v>
      </c>
      <c r="E228" s="211" t="s">
        <v>268</v>
      </c>
      <c r="F228" s="212" t="s">
        <v>179</v>
      </c>
      <c r="G228" s="117">
        <v>194137.18</v>
      </c>
      <c r="H228" s="121"/>
      <c r="I228" s="121">
        <v>-8367.7000000000007</v>
      </c>
      <c r="J228" s="121"/>
      <c r="K228" s="121"/>
      <c r="L228" s="121"/>
      <c r="M228" s="121"/>
      <c r="N228" s="121"/>
      <c r="O228" s="121">
        <f>-1800-1095.7-102.8</f>
        <v>-2998.5</v>
      </c>
      <c r="P228" s="122"/>
      <c r="Q228" s="122">
        <f>-984.81824</f>
        <v>-984.81823999999995</v>
      </c>
      <c r="R228" s="123"/>
      <c r="S228" s="123">
        <f>-138.448-327+527.41357+132.35182-69.92</f>
        <v>124.39739000000007</v>
      </c>
      <c r="T228" s="124">
        <v>181910.55914999999</v>
      </c>
    </row>
    <row r="229" spans="1:23">
      <c r="A229" s="213" t="s">
        <v>180</v>
      </c>
      <c r="B229" s="211" t="s">
        <v>134</v>
      </c>
      <c r="C229" s="211" t="s">
        <v>260</v>
      </c>
      <c r="D229" s="211" t="s">
        <v>129</v>
      </c>
      <c r="E229" s="211" t="s">
        <v>268</v>
      </c>
      <c r="F229" s="212" t="s">
        <v>181</v>
      </c>
      <c r="G229" s="117">
        <f>1500+7000+8000+5354.25</f>
        <v>21854.25</v>
      </c>
      <c r="H229" s="121">
        <f>2066+1125+500</f>
        <v>3691</v>
      </c>
      <c r="I229" s="121">
        <v>-251.2</v>
      </c>
      <c r="J229" s="121">
        <f>100+450</f>
        <v>550</v>
      </c>
      <c r="K229" s="121">
        <v>2000</v>
      </c>
      <c r="L229" s="121"/>
      <c r="M229" s="121"/>
      <c r="N229" s="121"/>
      <c r="O229" s="121">
        <f>1800.515+520.518</f>
        <v>2321.0330000000004</v>
      </c>
      <c r="P229" s="122"/>
      <c r="Q229" s="122">
        <v>-110.55110000000001</v>
      </c>
      <c r="R229" s="123"/>
      <c r="S229" s="123">
        <f>273.72+60</f>
        <v>333.72</v>
      </c>
      <c r="T229" s="124">
        <v>29248.31151</v>
      </c>
    </row>
    <row r="230" spans="1:23" s="6" customFormat="1" ht="30.75" customHeight="1">
      <c r="A230" s="221" t="s">
        <v>270</v>
      </c>
      <c r="B230" s="209" t="s">
        <v>134</v>
      </c>
      <c r="C230" s="209" t="s">
        <v>260</v>
      </c>
      <c r="D230" s="209" t="s">
        <v>129</v>
      </c>
      <c r="E230" s="209" t="s">
        <v>271</v>
      </c>
      <c r="F230" s="207"/>
      <c r="G230" s="113">
        <f t="shared" ref="G230:T230" si="57">G231+G232</f>
        <v>0</v>
      </c>
      <c r="H230" s="113">
        <f t="shared" si="57"/>
        <v>6933.8867200000004</v>
      </c>
      <c r="I230" s="113">
        <f t="shared" si="57"/>
        <v>0</v>
      </c>
      <c r="J230" s="113">
        <f t="shared" si="57"/>
        <v>0</v>
      </c>
      <c r="K230" s="113">
        <f t="shared" si="57"/>
        <v>0</v>
      </c>
      <c r="L230" s="113">
        <f t="shared" si="57"/>
        <v>0</v>
      </c>
      <c r="M230" s="113">
        <f t="shared" si="57"/>
        <v>0</v>
      </c>
      <c r="N230" s="113">
        <f t="shared" si="57"/>
        <v>0</v>
      </c>
      <c r="O230" s="113">
        <f t="shared" si="57"/>
        <v>0</v>
      </c>
      <c r="P230" s="114">
        <f t="shared" si="57"/>
        <v>0</v>
      </c>
      <c r="Q230" s="114">
        <f t="shared" si="57"/>
        <v>0</v>
      </c>
      <c r="R230" s="115"/>
      <c r="S230" s="115"/>
      <c r="T230" s="116">
        <f t="shared" si="57"/>
        <v>6576.4551500000007</v>
      </c>
      <c r="W230" s="10"/>
    </row>
    <row r="231" spans="1:23">
      <c r="A231" s="214" t="s">
        <v>142</v>
      </c>
      <c r="B231" s="211" t="s">
        <v>134</v>
      </c>
      <c r="C231" s="211" t="s">
        <v>260</v>
      </c>
      <c r="D231" s="211" t="s">
        <v>129</v>
      </c>
      <c r="E231" s="211" t="s">
        <v>271</v>
      </c>
      <c r="F231" s="212" t="s">
        <v>235</v>
      </c>
      <c r="G231" s="117"/>
      <c r="H231" s="121">
        <v>1031.2969800000001</v>
      </c>
      <c r="I231" s="121"/>
      <c r="J231" s="121"/>
      <c r="K231" s="121"/>
      <c r="L231" s="121"/>
      <c r="M231" s="121"/>
      <c r="N231" s="121"/>
      <c r="O231" s="121"/>
      <c r="P231" s="122"/>
      <c r="Q231" s="122"/>
      <c r="R231" s="123"/>
      <c r="S231" s="123"/>
      <c r="T231" s="124">
        <v>1012.167</v>
      </c>
    </row>
    <row r="232" spans="1:23">
      <c r="A232" s="213" t="s">
        <v>180</v>
      </c>
      <c r="B232" s="209" t="s">
        <v>134</v>
      </c>
      <c r="C232" s="209" t="s">
        <v>260</v>
      </c>
      <c r="D232" s="209" t="s">
        <v>129</v>
      </c>
      <c r="E232" s="211" t="s">
        <v>271</v>
      </c>
      <c r="F232" s="212" t="s">
        <v>181</v>
      </c>
      <c r="G232" s="117"/>
      <c r="H232" s="121">
        <v>5902.5897400000003</v>
      </c>
      <c r="I232" s="121"/>
      <c r="J232" s="121"/>
      <c r="K232" s="121"/>
      <c r="L232" s="121"/>
      <c r="M232" s="121"/>
      <c r="N232" s="121"/>
      <c r="O232" s="121"/>
      <c r="P232" s="122"/>
      <c r="Q232" s="122"/>
      <c r="R232" s="123"/>
      <c r="S232" s="123"/>
      <c r="T232" s="124">
        <v>5564.2881500000003</v>
      </c>
    </row>
    <row r="233" spans="1:23" ht="22.5">
      <c r="A233" s="230" t="s">
        <v>272</v>
      </c>
      <c r="B233" s="209" t="s">
        <v>134</v>
      </c>
      <c r="C233" s="209" t="s">
        <v>260</v>
      </c>
      <c r="D233" s="209" t="s">
        <v>129</v>
      </c>
      <c r="E233" s="209" t="s">
        <v>273</v>
      </c>
      <c r="F233" s="212"/>
      <c r="G233" s="117"/>
      <c r="H233" s="121"/>
      <c r="I233" s="121"/>
      <c r="J233" s="125">
        <f t="shared" ref="J233:Q233" si="58">J234</f>
        <v>500</v>
      </c>
      <c r="K233" s="125">
        <f t="shared" si="58"/>
        <v>0</v>
      </c>
      <c r="L233" s="125">
        <f t="shared" si="58"/>
        <v>0</v>
      </c>
      <c r="M233" s="125">
        <f t="shared" si="58"/>
        <v>0</v>
      </c>
      <c r="N233" s="125">
        <f t="shared" si="58"/>
        <v>0</v>
      </c>
      <c r="O233" s="125">
        <f t="shared" si="58"/>
        <v>0</v>
      </c>
      <c r="P233" s="126">
        <f t="shared" si="58"/>
        <v>0</v>
      </c>
      <c r="Q233" s="126">
        <f t="shared" si="58"/>
        <v>0</v>
      </c>
      <c r="R233" s="127"/>
      <c r="S233" s="127"/>
      <c r="T233" s="128">
        <f>T234</f>
        <v>499.01382999999998</v>
      </c>
    </row>
    <row r="234" spans="1:23">
      <c r="A234" s="213" t="s">
        <v>180</v>
      </c>
      <c r="B234" s="209" t="s">
        <v>134</v>
      </c>
      <c r="C234" s="209" t="s">
        <v>260</v>
      </c>
      <c r="D234" s="209" t="s">
        <v>129</v>
      </c>
      <c r="E234" s="211" t="s">
        <v>273</v>
      </c>
      <c r="F234" s="212" t="s">
        <v>181</v>
      </c>
      <c r="G234" s="117"/>
      <c r="H234" s="121"/>
      <c r="I234" s="121"/>
      <c r="J234" s="121">
        <v>500</v>
      </c>
      <c r="K234" s="121"/>
      <c r="L234" s="121"/>
      <c r="M234" s="121"/>
      <c r="N234" s="121"/>
      <c r="O234" s="121"/>
      <c r="P234" s="122"/>
      <c r="Q234" s="122"/>
      <c r="R234" s="123"/>
      <c r="S234" s="123"/>
      <c r="T234" s="124">
        <v>499.01382999999998</v>
      </c>
    </row>
    <row r="235" spans="1:23" ht="22.5">
      <c r="A235" s="230" t="s">
        <v>274</v>
      </c>
      <c r="B235" s="209" t="s">
        <v>134</v>
      </c>
      <c r="C235" s="209" t="s">
        <v>260</v>
      </c>
      <c r="D235" s="209" t="s">
        <v>129</v>
      </c>
      <c r="E235" s="209" t="s">
        <v>275</v>
      </c>
      <c r="F235" s="212"/>
      <c r="G235" s="117"/>
      <c r="H235" s="121"/>
      <c r="I235" s="121"/>
      <c r="J235" s="125">
        <f t="shared" ref="J235:Q235" si="59">J236</f>
        <v>100</v>
      </c>
      <c r="K235" s="125">
        <f t="shared" si="59"/>
        <v>0</v>
      </c>
      <c r="L235" s="125">
        <f t="shared" si="59"/>
        <v>0</v>
      </c>
      <c r="M235" s="125">
        <f t="shared" si="59"/>
        <v>0</v>
      </c>
      <c r="N235" s="125">
        <f t="shared" si="59"/>
        <v>0</v>
      </c>
      <c r="O235" s="125">
        <f t="shared" si="59"/>
        <v>0</v>
      </c>
      <c r="P235" s="126">
        <f t="shared" si="59"/>
        <v>0</v>
      </c>
      <c r="Q235" s="126">
        <f t="shared" si="59"/>
        <v>0</v>
      </c>
      <c r="R235" s="127"/>
      <c r="S235" s="127"/>
      <c r="T235" s="128">
        <f>T236</f>
        <v>99.997</v>
      </c>
    </row>
    <row r="236" spans="1:23">
      <c r="A236" s="239" t="s">
        <v>180</v>
      </c>
      <c r="B236" s="211" t="s">
        <v>134</v>
      </c>
      <c r="C236" s="211" t="s">
        <v>260</v>
      </c>
      <c r="D236" s="211" t="s">
        <v>129</v>
      </c>
      <c r="E236" s="211" t="s">
        <v>275</v>
      </c>
      <c r="F236" s="212" t="s">
        <v>181</v>
      </c>
      <c r="G236" s="117"/>
      <c r="H236" s="121"/>
      <c r="I236" s="121"/>
      <c r="J236" s="121">
        <v>100</v>
      </c>
      <c r="K236" s="121"/>
      <c r="L236" s="121"/>
      <c r="M236" s="121"/>
      <c r="N236" s="121"/>
      <c r="O236" s="121"/>
      <c r="P236" s="122"/>
      <c r="Q236" s="122"/>
      <c r="R236" s="123"/>
      <c r="S236" s="123"/>
      <c r="T236" s="124">
        <v>99.997</v>
      </c>
    </row>
    <row r="237" spans="1:23" s="6" customFormat="1">
      <c r="A237" s="226" t="s">
        <v>432</v>
      </c>
      <c r="B237" s="209" t="s">
        <v>134</v>
      </c>
      <c r="C237" s="209" t="s">
        <v>260</v>
      </c>
      <c r="D237" s="209" t="s">
        <v>129</v>
      </c>
      <c r="E237" s="209" t="s">
        <v>429</v>
      </c>
      <c r="F237" s="207"/>
      <c r="G237" s="113"/>
      <c r="H237" s="125"/>
      <c r="I237" s="125"/>
      <c r="J237" s="125"/>
      <c r="K237" s="125"/>
      <c r="L237" s="125"/>
      <c r="M237" s="125">
        <f>M238</f>
        <v>2929.1107099999999</v>
      </c>
      <c r="N237" s="125">
        <f>N238</f>
        <v>0</v>
      </c>
      <c r="O237" s="125">
        <f>O238</f>
        <v>0</v>
      </c>
      <c r="P237" s="126">
        <f>P238</f>
        <v>0</v>
      </c>
      <c r="Q237" s="126">
        <f>Q238</f>
        <v>0</v>
      </c>
      <c r="R237" s="127"/>
      <c r="S237" s="127"/>
      <c r="T237" s="128">
        <f>T238</f>
        <v>2929.1090600000002</v>
      </c>
    </row>
    <row r="238" spans="1:23" ht="33.75">
      <c r="A238" s="227" t="s">
        <v>431</v>
      </c>
      <c r="B238" s="211" t="s">
        <v>134</v>
      </c>
      <c r="C238" s="211" t="s">
        <v>260</v>
      </c>
      <c r="D238" s="211" t="s">
        <v>129</v>
      </c>
      <c r="E238" s="211" t="s">
        <v>429</v>
      </c>
      <c r="F238" s="212" t="s">
        <v>265</v>
      </c>
      <c r="G238" s="117"/>
      <c r="H238" s="121"/>
      <c r="I238" s="121"/>
      <c r="J238" s="121"/>
      <c r="K238" s="121"/>
      <c r="L238" s="121"/>
      <c r="M238" s="121">
        <v>2929.1107099999999</v>
      </c>
      <c r="N238" s="121"/>
      <c r="O238" s="121"/>
      <c r="P238" s="122"/>
      <c r="Q238" s="122"/>
      <c r="R238" s="123"/>
      <c r="S238" s="123"/>
      <c r="T238" s="124">
        <v>2929.1090600000002</v>
      </c>
    </row>
    <row r="239" spans="1:23" s="6" customFormat="1" ht="33.75">
      <c r="A239" s="230" t="s">
        <v>426</v>
      </c>
      <c r="B239" s="209" t="s">
        <v>134</v>
      </c>
      <c r="C239" s="209" t="s">
        <v>260</v>
      </c>
      <c r="D239" s="209" t="s">
        <v>129</v>
      </c>
      <c r="E239" s="209" t="s">
        <v>430</v>
      </c>
      <c r="F239" s="207"/>
      <c r="G239" s="113">
        <f>G240+G241</f>
        <v>0</v>
      </c>
      <c r="H239" s="113">
        <f t="shared" ref="H239:T239" si="60">H240+H241</f>
        <v>0</v>
      </c>
      <c r="I239" s="113">
        <f t="shared" si="60"/>
        <v>0</v>
      </c>
      <c r="J239" s="113">
        <f t="shared" si="60"/>
        <v>0</v>
      </c>
      <c r="K239" s="113">
        <f t="shared" si="60"/>
        <v>0</v>
      </c>
      <c r="L239" s="113">
        <f t="shared" si="60"/>
        <v>9373.2999999999993</v>
      </c>
      <c r="M239" s="113">
        <f t="shared" si="60"/>
        <v>0</v>
      </c>
      <c r="N239" s="113">
        <f t="shared" si="60"/>
        <v>0</v>
      </c>
      <c r="O239" s="113">
        <f t="shared" si="60"/>
        <v>0</v>
      </c>
      <c r="P239" s="114">
        <f t="shared" si="60"/>
        <v>0</v>
      </c>
      <c r="Q239" s="114">
        <f t="shared" si="60"/>
        <v>0</v>
      </c>
      <c r="R239" s="115"/>
      <c r="S239" s="115"/>
      <c r="T239" s="116">
        <f t="shared" si="60"/>
        <v>9306.7000000000007</v>
      </c>
    </row>
    <row r="240" spans="1:23">
      <c r="A240" s="213" t="s">
        <v>139</v>
      </c>
      <c r="B240" s="211" t="s">
        <v>134</v>
      </c>
      <c r="C240" s="211" t="s">
        <v>260</v>
      </c>
      <c r="D240" s="211" t="s">
        <v>129</v>
      </c>
      <c r="E240" s="211" t="s">
        <v>430</v>
      </c>
      <c r="F240" s="212" t="s">
        <v>185</v>
      </c>
      <c r="G240" s="117"/>
      <c r="H240" s="121"/>
      <c r="I240" s="121"/>
      <c r="J240" s="121"/>
      <c r="K240" s="121"/>
      <c r="L240" s="121">
        <v>1321.1</v>
      </c>
      <c r="M240" s="121"/>
      <c r="N240" s="121"/>
      <c r="O240" s="121"/>
      <c r="P240" s="122"/>
      <c r="Q240" s="122"/>
      <c r="R240" s="123"/>
      <c r="S240" s="123"/>
      <c r="T240" s="124">
        <v>1254.5</v>
      </c>
    </row>
    <row r="241" spans="1:21" ht="33.75">
      <c r="A241" s="240" t="s">
        <v>269</v>
      </c>
      <c r="B241" s="211" t="s">
        <v>134</v>
      </c>
      <c r="C241" s="211" t="s">
        <v>260</v>
      </c>
      <c r="D241" s="211" t="s">
        <v>129</v>
      </c>
      <c r="E241" s="211" t="s">
        <v>430</v>
      </c>
      <c r="F241" s="212" t="s">
        <v>179</v>
      </c>
      <c r="G241" s="117"/>
      <c r="H241" s="121"/>
      <c r="I241" s="121"/>
      <c r="J241" s="121"/>
      <c r="K241" s="121"/>
      <c r="L241" s="121">
        <v>8052.2</v>
      </c>
      <c r="M241" s="121"/>
      <c r="N241" s="121"/>
      <c r="O241" s="121"/>
      <c r="P241" s="122"/>
      <c r="Q241" s="122"/>
      <c r="R241" s="123"/>
      <c r="S241" s="123"/>
      <c r="T241" s="124">
        <v>8052.2</v>
      </c>
    </row>
    <row r="242" spans="1:21" s="6" customFormat="1" ht="24.75" customHeight="1">
      <c r="A242" s="218" t="s">
        <v>555</v>
      </c>
      <c r="B242" s="209" t="s">
        <v>134</v>
      </c>
      <c r="C242" s="209" t="s">
        <v>260</v>
      </c>
      <c r="D242" s="209" t="s">
        <v>129</v>
      </c>
      <c r="E242" s="209" t="s">
        <v>549</v>
      </c>
      <c r="F242" s="207"/>
      <c r="G242" s="113"/>
      <c r="H242" s="125"/>
      <c r="I242" s="125"/>
      <c r="J242" s="125"/>
      <c r="K242" s="125"/>
      <c r="L242" s="125"/>
      <c r="M242" s="125"/>
      <c r="N242" s="125"/>
      <c r="O242" s="125"/>
      <c r="P242" s="126">
        <f>P244+P243</f>
        <v>1091.1032399999999</v>
      </c>
      <c r="Q242" s="126">
        <f>Q244</f>
        <v>0</v>
      </c>
      <c r="R242" s="125"/>
      <c r="S242" s="125"/>
      <c r="T242" s="126">
        <f>T244+T243</f>
        <v>1091.1032399999999</v>
      </c>
    </row>
    <row r="243" spans="1:21" s="6" customFormat="1" ht="33.75">
      <c r="A243" s="229" t="s">
        <v>269</v>
      </c>
      <c r="B243" s="211" t="s">
        <v>134</v>
      </c>
      <c r="C243" s="211" t="s">
        <v>260</v>
      </c>
      <c r="D243" s="211" t="s">
        <v>129</v>
      </c>
      <c r="E243" s="211" t="s">
        <v>549</v>
      </c>
      <c r="F243" s="212" t="s">
        <v>179</v>
      </c>
      <c r="G243" s="113"/>
      <c r="H243" s="125"/>
      <c r="I243" s="125"/>
      <c r="J243" s="125"/>
      <c r="K243" s="125"/>
      <c r="L243" s="125"/>
      <c r="M243" s="125"/>
      <c r="N243" s="125"/>
      <c r="O243" s="125"/>
      <c r="P243" s="122">
        <v>984.81823999999995</v>
      </c>
      <c r="Q243" s="122"/>
      <c r="R243" s="123"/>
      <c r="S243" s="123"/>
      <c r="T243" s="122">
        <v>984.81823999999995</v>
      </c>
    </row>
    <row r="244" spans="1:21">
      <c r="A244" s="214" t="s">
        <v>155</v>
      </c>
      <c r="B244" s="211" t="s">
        <v>134</v>
      </c>
      <c r="C244" s="211" t="s">
        <v>260</v>
      </c>
      <c r="D244" s="211" t="s">
        <v>129</v>
      </c>
      <c r="E244" s="211" t="s">
        <v>549</v>
      </c>
      <c r="F244" s="212" t="s">
        <v>156</v>
      </c>
      <c r="G244" s="117"/>
      <c r="H244" s="121"/>
      <c r="I244" s="121"/>
      <c r="J244" s="121"/>
      <c r="K244" s="121"/>
      <c r="L244" s="121"/>
      <c r="M244" s="121"/>
      <c r="N244" s="121"/>
      <c r="O244" s="121"/>
      <c r="P244" s="122">
        <v>106.285</v>
      </c>
      <c r="Q244" s="122"/>
      <c r="R244" s="123"/>
      <c r="S244" s="123"/>
      <c r="T244" s="124">
        <v>106.285</v>
      </c>
    </row>
    <row r="245" spans="1:21" s="6" customFormat="1" ht="55.5" customHeight="1">
      <c r="A245" s="215" t="s">
        <v>553</v>
      </c>
      <c r="B245" s="209" t="s">
        <v>134</v>
      </c>
      <c r="C245" s="209" t="s">
        <v>260</v>
      </c>
      <c r="D245" s="209" t="s">
        <v>129</v>
      </c>
      <c r="E245" s="209" t="s">
        <v>554</v>
      </c>
      <c r="F245" s="207"/>
      <c r="G245" s="113"/>
      <c r="H245" s="125"/>
      <c r="I245" s="125"/>
      <c r="J245" s="125"/>
      <c r="K245" s="125"/>
      <c r="L245" s="125"/>
      <c r="M245" s="125"/>
      <c r="N245" s="125"/>
      <c r="O245" s="125"/>
      <c r="P245" s="126"/>
      <c r="Q245" s="126"/>
      <c r="R245" s="127">
        <f>R246+R247</f>
        <v>6144.125</v>
      </c>
      <c r="S245" s="127"/>
      <c r="T245" s="126">
        <f>T246+T247</f>
        <v>6134.3276000000005</v>
      </c>
    </row>
    <row r="246" spans="1:21">
      <c r="A246" s="213" t="s">
        <v>139</v>
      </c>
      <c r="B246" s="211" t="s">
        <v>134</v>
      </c>
      <c r="C246" s="211" t="s">
        <v>260</v>
      </c>
      <c r="D246" s="211" t="s">
        <v>129</v>
      </c>
      <c r="E246" s="211" t="s">
        <v>554</v>
      </c>
      <c r="F246" s="212" t="s">
        <v>185</v>
      </c>
      <c r="G246" s="117"/>
      <c r="H246" s="121"/>
      <c r="I246" s="121"/>
      <c r="J246" s="121"/>
      <c r="K246" s="121"/>
      <c r="L246" s="121"/>
      <c r="M246" s="121"/>
      <c r="N246" s="121"/>
      <c r="O246" s="121"/>
      <c r="P246" s="122"/>
      <c r="Q246" s="122"/>
      <c r="R246" s="123">
        <v>943.44500000000005</v>
      </c>
      <c r="S246" s="123"/>
      <c r="T246" s="122">
        <v>933.64760000000001</v>
      </c>
    </row>
    <row r="247" spans="1:21">
      <c r="A247" s="239" t="s">
        <v>180</v>
      </c>
      <c r="B247" s="211" t="s">
        <v>134</v>
      </c>
      <c r="C247" s="211" t="s">
        <v>260</v>
      </c>
      <c r="D247" s="211" t="s">
        <v>129</v>
      </c>
      <c r="E247" s="211" t="s">
        <v>554</v>
      </c>
      <c r="F247" s="212" t="s">
        <v>181</v>
      </c>
      <c r="G247" s="117"/>
      <c r="H247" s="121"/>
      <c r="I247" s="121"/>
      <c r="J247" s="121"/>
      <c r="K247" s="121"/>
      <c r="L247" s="121"/>
      <c r="M247" s="121"/>
      <c r="N247" s="121"/>
      <c r="O247" s="121"/>
      <c r="P247" s="122"/>
      <c r="Q247" s="122"/>
      <c r="R247" s="123">
        <v>5200.68</v>
      </c>
      <c r="S247" s="123"/>
      <c r="T247" s="122">
        <v>5200.68</v>
      </c>
    </row>
    <row r="248" spans="1:21">
      <c r="A248" s="208" t="s">
        <v>276</v>
      </c>
      <c r="B248" s="209"/>
      <c r="C248" s="209" t="s">
        <v>260</v>
      </c>
      <c r="D248" s="209" t="s">
        <v>135</v>
      </c>
      <c r="E248" s="211"/>
      <c r="F248" s="212"/>
      <c r="G248" s="113">
        <f>G249+G280+G287+G294+G304+G301++G311+G315+G318+G321+G322+G285</f>
        <v>796012.5</v>
      </c>
      <c r="H248" s="113">
        <f t="shared" ref="H248:Q248" si="61">H249+H280+H287+H294+H304+H301++H311+H315+H318+H321+H322+H285</f>
        <v>19777.514640000001</v>
      </c>
      <c r="I248" s="113">
        <f t="shared" si="61"/>
        <v>500</v>
      </c>
      <c r="J248" s="113">
        <f t="shared" si="61"/>
        <v>24388.76643</v>
      </c>
      <c r="K248" s="113">
        <f t="shared" si="61"/>
        <v>-1200</v>
      </c>
      <c r="L248" s="113">
        <f t="shared" si="61"/>
        <v>8151.4000000000005</v>
      </c>
      <c r="M248" s="113">
        <f t="shared" si="61"/>
        <v>892.60000000000014</v>
      </c>
      <c r="N248" s="113">
        <f t="shared" si="61"/>
        <v>4971.6840000000002</v>
      </c>
      <c r="O248" s="113">
        <f t="shared" si="61"/>
        <v>2155.5740000000001</v>
      </c>
      <c r="P248" s="114">
        <f t="shared" si="61"/>
        <v>9401.0244000000002</v>
      </c>
      <c r="Q248" s="114">
        <f t="shared" si="61"/>
        <v>-3165.1929000000005</v>
      </c>
      <c r="R248" s="113">
        <f>R249+R280+R287+R294+R304+R301++R311+R315+R318+R321+R322+R285+R325</f>
        <v>36958.670000000006</v>
      </c>
      <c r="S248" s="113">
        <f>S249+S280+S287+S294+S304+S301++S311+S315+S318+S321+S322+S285+S325</f>
        <v>-1059.7572700000001</v>
      </c>
      <c r="T248" s="114">
        <f>T249+T280+T287+T294+T304+T301++T311+T315+T318+T321+T322+T285+T325</f>
        <v>852982.36550000007</v>
      </c>
    </row>
    <row r="249" spans="1:21">
      <c r="A249" s="208" t="s">
        <v>277</v>
      </c>
      <c r="B249" s="209"/>
      <c r="C249" s="209" t="s">
        <v>260</v>
      </c>
      <c r="D249" s="209" t="s">
        <v>135</v>
      </c>
      <c r="E249" s="209" t="s">
        <v>278</v>
      </c>
      <c r="F249" s="207"/>
      <c r="G249" s="113">
        <f>G250+G266</f>
        <v>255980.7</v>
      </c>
      <c r="H249" s="113">
        <f>H250+H266</f>
        <v>4489.6000000000004</v>
      </c>
      <c r="I249" s="113">
        <f>I250+I266</f>
        <v>500</v>
      </c>
      <c r="J249" s="113">
        <f>J250+J266+J263</f>
        <v>21387</v>
      </c>
      <c r="K249" s="113">
        <f>K250+K266</f>
        <v>7.1054273576010019E-15</v>
      </c>
      <c r="L249" s="113">
        <f>L250+L266</f>
        <v>0</v>
      </c>
      <c r="M249" s="113">
        <f>M250+M266</f>
        <v>892.60000000000014</v>
      </c>
      <c r="N249" s="113"/>
      <c r="O249" s="113">
        <f>O250+O263+O266</f>
        <v>2155.5740000000001</v>
      </c>
      <c r="P249" s="114">
        <f>P250+P263+P266</f>
        <v>88.433300000000003</v>
      </c>
      <c r="Q249" s="114">
        <f>Q250+Q263+Q266</f>
        <v>-3165.1929000000005</v>
      </c>
      <c r="R249" s="113">
        <f>R250+R263+R266</f>
        <v>70</v>
      </c>
      <c r="S249" s="113">
        <f>S250+S263+S266</f>
        <v>-1059.7572700000001</v>
      </c>
      <c r="T249" s="116">
        <f>T250+T266+T263</f>
        <v>246933.41210999998</v>
      </c>
    </row>
    <row r="250" spans="1:21" s="6" customFormat="1" ht="22.5">
      <c r="A250" s="241" t="s">
        <v>279</v>
      </c>
      <c r="B250" s="209" t="s">
        <v>134</v>
      </c>
      <c r="C250" s="209" t="s">
        <v>260</v>
      </c>
      <c r="D250" s="209" t="s">
        <v>135</v>
      </c>
      <c r="E250" s="209" t="s">
        <v>280</v>
      </c>
      <c r="F250" s="207"/>
      <c r="G250" s="113">
        <f t="shared" ref="G250:M250" si="62">G251+G258</f>
        <v>160019.9</v>
      </c>
      <c r="H250" s="113">
        <f t="shared" si="62"/>
        <v>2586</v>
      </c>
      <c r="I250" s="113">
        <f t="shared" si="62"/>
        <v>500</v>
      </c>
      <c r="J250" s="113">
        <f t="shared" si="62"/>
        <v>4227</v>
      </c>
      <c r="K250" s="113">
        <f t="shared" si="62"/>
        <v>7.1054273576010019E-15</v>
      </c>
      <c r="L250" s="113">
        <f t="shared" si="62"/>
        <v>0</v>
      </c>
      <c r="M250" s="113">
        <f t="shared" si="62"/>
        <v>892.60000000000014</v>
      </c>
      <c r="N250" s="113"/>
      <c r="O250" s="113">
        <f t="shared" ref="O250:T250" si="63">O251+O258</f>
        <v>2595.5740000000001</v>
      </c>
      <c r="P250" s="114">
        <f t="shared" si="63"/>
        <v>68.433300000000003</v>
      </c>
      <c r="Q250" s="114">
        <f t="shared" si="63"/>
        <v>-3183.1270999999997</v>
      </c>
      <c r="R250" s="113">
        <f t="shared" si="63"/>
        <v>0</v>
      </c>
      <c r="S250" s="113">
        <f t="shared" si="63"/>
        <v>-665.00027</v>
      </c>
      <c r="T250" s="116">
        <f t="shared" si="63"/>
        <v>163523.30666</v>
      </c>
    </row>
    <row r="251" spans="1:21" s="6" customFormat="1">
      <c r="A251" s="208" t="s">
        <v>176</v>
      </c>
      <c r="B251" s="209" t="s">
        <v>134</v>
      </c>
      <c r="C251" s="209" t="s">
        <v>260</v>
      </c>
      <c r="D251" s="209" t="s">
        <v>135</v>
      </c>
      <c r="E251" s="209" t="s">
        <v>281</v>
      </c>
      <c r="F251" s="207"/>
      <c r="G251" s="113">
        <f t="shared" ref="G251:M251" si="64">G257+G256+G255+G253+G254</f>
        <v>28255.974999999999</v>
      </c>
      <c r="H251" s="113">
        <f t="shared" si="64"/>
        <v>1446</v>
      </c>
      <c r="I251" s="113">
        <f t="shared" si="64"/>
        <v>5150</v>
      </c>
      <c r="J251" s="113">
        <f t="shared" si="64"/>
        <v>467</v>
      </c>
      <c r="K251" s="113">
        <f t="shared" si="64"/>
        <v>7.1054273576010019E-15</v>
      </c>
      <c r="L251" s="113">
        <f t="shared" si="64"/>
        <v>0</v>
      </c>
      <c r="M251" s="113">
        <f t="shared" si="64"/>
        <v>292.60000000000008</v>
      </c>
      <c r="N251" s="113"/>
      <c r="O251" s="113">
        <f>O253+O254+O255+O256+O257</f>
        <v>1976.2</v>
      </c>
      <c r="P251" s="114">
        <f>P253+P254+P255+P256+P257</f>
        <v>68.433300000000003</v>
      </c>
      <c r="Q251" s="114">
        <f>Q253+Q254+Q255+Q256+Q257</f>
        <v>-530.54999999999995</v>
      </c>
      <c r="R251" s="113">
        <f>R253+R254+R255+R256+R257</f>
        <v>0</v>
      </c>
      <c r="S251" s="113">
        <f>S253+S254+S255+S256+S257+S252</f>
        <v>-805.04666000000009</v>
      </c>
      <c r="T251" s="116">
        <f>T257+T256+T255+T253+T254+T252</f>
        <v>34676.497359999994</v>
      </c>
    </row>
    <row r="252" spans="1:21">
      <c r="A252" s="213" t="s">
        <v>654</v>
      </c>
      <c r="B252" s="211" t="s">
        <v>134</v>
      </c>
      <c r="C252" s="211" t="s">
        <v>260</v>
      </c>
      <c r="D252" s="211" t="s">
        <v>135</v>
      </c>
      <c r="E252" s="211" t="s">
        <v>281</v>
      </c>
      <c r="F252" s="212" t="s">
        <v>185</v>
      </c>
      <c r="G252" s="117"/>
      <c r="H252" s="117"/>
      <c r="I252" s="117"/>
      <c r="J252" s="117"/>
      <c r="K252" s="117"/>
      <c r="L252" s="117"/>
      <c r="M252" s="117"/>
      <c r="N252" s="117"/>
      <c r="O252" s="119"/>
      <c r="P252" s="118"/>
      <c r="Q252" s="118"/>
      <c r="R252" s="119"/>
      <c r="S252" s="119">
        <v>0.17499999999999999</v>
      </c>
      <c r="T252" s="120">
        <v>0</v>
      </c>
    </row>
    <row r="253" spans="1:21">
      <c r="A253" s="214" t="s">
        <v>142</v>
      </c>
      <c r="B253" s="211" t="s">
        <v>134</v>
      </c>
      <c r="C253" s="211" t="s">
        <v>260</v>
      </c>
      <c r="D253" s="211" t="s">
        <v>135</v>
      </c>
      <c r="E253" s="211" t="s">
        <v>281</v>
      </c>
      <c r="F253" s="212" t="s">
        <v>235</v>
      </c>
      <c r="G253" s="117">
        <f>1764.8+153+25.3+1930.2</f>
        <v>3873.3</v>
      </c>
      <c r="H253" s="121"/>
      <c r="I253" s="121"/>
      <c r="J253" s="121"/>
      <c r="K253" s="121">
        <f>-38.25+3</f>
        <v>-35.25</v>
      </c>
      <c r="L253" s="121"/>
      <c r="M253" s="121">
        <f>-4.4+9.5</f>
        <v>5.0999999999999996</v>
      </c>
      <c r="N253" s="121"/>
      <c r="O253" s="123">
        <f>0.39+3-4.4+10.859</f>
        <v>9.8490000000000002</v>
      </c>
      <c r="P253" s="122"/>
      <c r="Q253" s="122">
        <f>3.05+38.02868-3-8.29</f>
        <v>29.788679999999999</v>
      </c>
      <c r="R253" s="123"/>
      <c r="S253" s="123">
        <f>7.6+81.3068-1.36+5.73+5.6+212.5+0.9+6.84-2.2208-94.956-59.7-29.776</f>
        <v>132.46399999999994</v>
      </c>
      <c r="T253" s="124">
        <v>3565.6736999999998</v>
      </c>
      <c r="U253" s="8"/>
    </row>
    <row r="254" spans="1:21" ht="22.5">
      <c r="A254" s="214" t="s">
        <v>149</v>
      </c>
      <c r="B254" s="211" t="s">
        <v>134</v>
      </c>
      <c r="C254" s="211" t="s">
        <v>260</v>
      </c>
      <c r="D254" s="211" t="s">
        <v>135</v>
      </c>
      <c r="E254" s="211" t="s">
        <v>281</v>
      </c>
      <c r="F254" s="212" t="s">
        <v>150</v>
      </c>
      <c r="G254" s="117">
        <v>206.6</v>
      </c>
      <c r="H254" s="121"/>
      <c r="I254" s="121">
        <f>1+1</f>
        <v>2</v>
      </c>
      <c r="J254" s="121"/>
      <c r="K254" s="121">
        <f>1.5+3.75+1.5</f>
        <v>6.75</v>
      </c>
      <c r="L254" s="121"/>
      <c r="M254" s="121">
        <f>2.5+2.2+1+4.5</f>
        <v>10.199999999999999</v>
      </c>
      <c r="N254" s="121"/>
      <c r="O254" s="123">
        <f>2.1+0.89</f>
        <v>2.99</v>
      </c>
      <c r="P254" s="122">
        <f>50+18.4333</f>
        <v>68.433300000000003</v>
      </c>
      <c r="Q254" s="122">
        <v>8.2899999999999991</v>
      </c>
      <c r="R254" s="123"/>
      <c r="S254" s="123">
        <f>11.0996+1.2-3.3+1.2-8.546+0.4-18.43333+0.10043</f>
        <v>-16.279300000000003</v>
      </c>
      <c r="T254" s="124">
        <v>285.84399999999999</v>
      </c>
    </row>
    <row r="255" spans="1:21">
      <c r="A255" s="214" t="s">
        <v>151</v>
      </c>
      <c r="B255" s="211" t="s">
        <v>134</v>
      </c>
      <c r="C255" s="211" t="s">
        <v>260</v>
      </c>
      <c r="D255" s="211" t="s">
        <v>135</v>
      </c>
      <c r="E255" s="211" t="s">
        <v>281</v>
      </c>
      <c r="F255" s="212" t="s">
        <v>152</v>
      </c>
      <c r="G255" s="117">
        <f>21428.5-206.6+2200+552.875</f>
        <v>23974.775000000001</v>
      </c>
      <c r="H255" s="121">
        <f>59+87+750+550</f>
        <v>1446</v>
      </c>
      <c r="I255" s="121">
        <f>4650-1-1+500</f>
        <v>5148</v>
      </c>
      <c r="J255" s="121">
        <f>50+129+148+140</f>
        <v>467</v>
      </c>
      <c r="K255" s="121">
        <f>-1.82+32.5-3-13-3-11-5.5-2.2-12.85-1-2.2</f>
        <v>-23.07</v>
      </c>
      <c r="L255" s="121"/>
      <c r="M255" s="121">
        <f>4.4-8.6-1-10.4-3.8-2.5-195.4-13.712-23.4-23.134-2-14+292.6</f>
        <v>-0.94599999999996953</v>
      </c>
      <c r="N255" s="121"/>
      <c r="O255" s="123">
        <f>-0.3-30-40.6-5-2.1-6.029-0.1-0.1-0.1-0.1-3-0.89-3-0.39-3+4.4+210+290-10.859-1.6+830</f>
        <v>1227.232</v>
      </c>
      <c r="P255" s="122"/>
      <c r="Q255" s="122">
        <f>-5-3.05-5.69-0.00872-1.2-38.02868+3</f>
        <v>-49.977400000000003</v>
      </c>
      <c r="R255" s="123"/>
      <c r="S255" s="123">
        <f>83.44633-7.6-5.323-6.59-2.43-1.2-5.6+53.22+1.706-0.4+15.1757-137.001+94.956+53.22-505.04504+20+79.70894+59.7-14.03928-350.33936+281.75896-315.943-15.6+18.43333+294.95125-354.46268</f>
        <v>-665.29684999999995</v>
      </c>
      <c r="T255" s="124">
        <v>30420.647949999999</v>
      </c>
      <c r="U255" s="14"/>
    </row>
    <row r="256" spans="1:21">
      <c r="A256" s="217" t="s">
        <v>155</v>
      </c>
      <c r="B256" s="211" t="s">
        <v>134</v>
      </c>
      <c r="C256" s="211" t="s">
        <v>260</v>
      </c>
      <c r="D256" s="211" t="s">
        <v>135</v>
      </c>
      <c r="E256" s="211" t="s">
        <v>281</v>
      </c>
      <c r="F256" s="212" t="s">
        <v>156</v>
      </c>
      <c r="G256" s="117">
        <v>99.5</v>
      </c>
      <c r="H256" s="121"/>
      <c r="I256" s="121"/>
      <c r="J256" s="121"/>
      <c r="K256" s="121"/>
      <c r="L256" s="121"/>
      <c r="M256" s="121">
        <f>8.6+10.4+195.4+12.374+23.4+20.262</f>
        <v>270.43600000000004</v>
      </c>
      <c r="N256" s="121"/>
      <c r="O256" s="123">
        <f>0.3+46.6+30+39.8+6.029+3+586.2+60</f>
        <v>771.92900000000009</v>
      </c>
      <c r="P256" s="122"/>
      <c r="Q256" s="122">
        <f>5.69+1.2-530.55</f>
        <v>-523.66</v>
      </c>
      <c r="R256" s="123"/>
      <c r="S256" s="123">
        <f>5.323-176.21502+6.75-53.02-15.1757-2.274-53.02-12.512+71.723-12.512</f>
        <v>-240.93272000000002</v>
      </c>
      <c r="T256" s="124">
        <v>353.00328000000002</v>
      </c>
      <c r="U256" s="8"/>
    </row>
    <row r="257" spans="1:22">
      <c r="A257" s="217" t="s">
        <v>157</v>
      </c>
      <c r="B257" s="211" t="s">
        <v>134</v>
      </c>
      <c r="C257" s="211" t="s">
        <v>260</v>
      </c>
      <c r="D257" s="211" t="s">
        <v>135</v>
      </c>
      <c r="E257" s="211" t="s">
        <v>281</v>
      </c>
      <c r="F257" s="212" t="s">
        <v>158</v>
      </c>
      <c r="G257" s="117">
        <v>101.8</v>
      </c>
      <c r="H257" s="121"/>
      <c r="I257" s="121"/>
      <c r="J257" s="121"/>
      <c r="K257" s="121">
        <f>0.32+2+3+13+11+5.5+2.2+11.35+1+2.2</f>
        <v>51.570000000000007</v>
      </c>
      <c r="L257" s="121"/>
      <c r="M257" s="121">
        <f>1+3.8+1.338+0.672+1</f>
        <v>7.81</v>
      </c>
      <c r="N257" s="121"/>
      <c r="O257" s="123">
        <f>-46.6+0.8+5+0.1+0.1+0.1+0.1+3+1.6</f>
        <v>-35.799999999999997</v>
      </c>
      <c r="P257" s="122"/>
      <c r="Q257" s="122">
        <f>5+0.00872</f>
        <v>5.0087200000000003</v>
      </c>
      <c r="R257" s="123"/>
      <c r="S257" s="123">
        <f>0.36229-1.1-10.275-4.16408</f>
        <v>-15.17679</v>
      </c>
      <c r="T257" s="124">
        <v>51.328429999999997</v>
      </c>
      <c r="U257" s="8"/>
    </row>
    <row r="258" spans="1:22" s="6" customFormat="1">
      <c r="A258" s="208" t="s">
        <v>176</v>
      </c>
      <c r="B258" s="209" t="s">
        <v>134</v>
      </c>
      <c r="C258" s="209" t="s">
        <v>260</v>
      </c>
      <c r="D258" s="209" t="s">
        <v>135</v>
      </c>
      <c r="E258" s="209" t="s">
        <v>281</v>
      </c>
      <c r="F258" s="207"/>
      <c r="G258" s="113">
        <f>G261+G262+G260+G259</f>
        <v>131763.92499999999</v>
      </c>
      <c r="H258" s="113">
        <f t="shared" ref="H258:T258" si="65">H261+H262+H260+H259</f>
        <v>1140</v>
      </c>
      <c r="I258" s="113">
        <f t="shared" si="65"/>
        <v>-4650</v>
      </c>
      <c r="J258" s="113">
        <f t="shared" si="65"/>
        <v>3760</v>
      </c>
      <c r="K258" s="113">
        <f t="shared" si="65"/>
        <v>0</v>
      </c>
      <c r="L258" s="113">
        <f t="shared" si="65"/>
        <v>0</v>
      </c>
      <c r="M258" s="113">
        <f t="shared" si="65"/>
        <v>600</v>
      </c>
      <c r="N258" s="113">
        <f t="shared" si="65"/>
        <v>0</v>
      </c>
      <c r="O258" s="113">
        <f t="shared" si="65"/>
        <v>619.37400000000002</v>
      </c>
      <c r="P258" s="114">
        <f t="shared" si="65"/>
        <v>0</v>
      </c>
      <c r="Q258" s="114">
        <f t="shared" si="65"/>
        <v>-2652.5770999999995</v>
      </c>
      <c r="R258" s="113">
        <f t="shared" si="65"/>
        <v>0</v>
      </c>
      <c r="S258" s="113">
        <f>S261+S262+S260+S259</f>
        <v>140.04639000000009</v>
      </c>
      <c r="T258" s="114">
        <f t="shared" si="65"/>
        <v>128846.80930000002</v>
      </c>
    </row>
    <row r="259" spans="1:22" s="6" customFormat="1" ht="33.75">
      <c r="A259" s="217" t="s">
        <v>582</v>
      </c>
      <c r="B259" s="211" t="s">
        <v>134</v>
      </c>
      <c r="C259" s="211" t="s">
        <v>260</v>
      </c>
      <c r="D259" s="211" t="s">
        <v>135</v>
      </c>
      <c r="E259" s="211" t="s">
        <v>281</v>
      </c>
      <c r="F259" s="212" t="s">
        <v>583</v>
      </c>
      <c r="G259" s="113"/>
      <c r="H259" s="113"/>
      <c r="I259" s="113"/>
      <c r="J259" s="113"/>
      <c r="K259" s="113"/>
      <c r="L259" s="113"/>
      <c r="M259" s="113"/>
      <c r="N259" s="113"/>
      <c r="O259" s="113"/>
      <c r="P259" s="114"/>
      <c r="Q259" s="118">
        <f>5000+0.55</f>
        <v>5000.55</v>
      </c>
      <c r="R259" s="119"/>
      <c r="S259" s="119"/>
      <c r="T259" s="120">
        <v>4462.3491400000003</v>
      </c>
    </row>
    <row r="260" spans="1:22" ht="33.75">
      <c r="A260" s="210" t="s">
        <v>264</v>
      </c>
      <c r="B260" s="211" t="s">
        <v>134</v>
      </c>
      <c r="C260" s="211" t="s">
        <v>260</v>
      </c>
      <c r="D260" s="211" t="s">
        <v>135</v>
      </c>
      <c r="E260" s="211" t="s">
        <v>281</v>
      </c>
      <c r="F260" s="212" t="s">
        <v>265</v>
      </c>
      <c r="G260" s="117">
        <v>5000</v>
      </c>
      <c r="H260" s="121"/>
      <c r="I260" s="121"/>
      <c r="J260" s="121"/>
      <c r="K260" s="121"/>
      <c r="L260" s="121"/>
      <c r="M260" s="121"/>
      <c r="N260" s="121"/>
      <c r="O260" s="121"/>
      <c r="P260" s="122"/>
      <c r="Q260" s="122">
        <v>-5000</v>
      </c>
      <c r="R260" s="123"/>
      <c r="S260" s="123"/>
      <c r="T260" s="120">
        <v>0</v>
      </c>
    </row>
    <row r="261" spans="1:22" ht="33.75">
      <c r="A261" s="229" t="s">
        <v>269</v>
      </c>
      <c r="B261" s="211" t="s">
        <v>134</v>
      </c>
      <c r="C261" s="211" t="s">
        <v>260</v>
      </c>
      <c r="D261" s="211" t="s">
        <v>135</v>
      </c>
      <c r="E261" s="211" t="s">
        <v>281</v>
      </c>
      <c r="F261" s="212" t="s">
        <v>179</v>
      </c>
      <c r="G261" s="117">
        <v>75982.2</v>
      </c>
      <c r="H261" s="121"/>
      <c r="I261" s="121"/>
      <c r="J261" s="121">
        <v>100</v>
      </c>
      <c r="K261" s="121"/>
      <c r="L261" s="121"/>
      <c r="M261" s="121"/>
      <c r="N261" s="121"/>
      <c r="O261" s="121">
        <f>170.3+110-290-1764.8+1187.7</f>
        <v>-586.79999999999995</v>
      </c>
      <c r="P261" s="122"/>
      <c r="Q261" s="122">
        <f>-4135.9271</f>
        <v>-4135.9270999999999</v>
      </c>
      <c r="R261" s="123"/>
      <c r="S261" s="123">
        <f>-998.20381-75.8+947.79168+405.77252+18.462</f>
        <v>298.02239000000009</v>
      </c>
      <c r="T261" s="120">
        <v>71657.495290000006</v>
      </c>
      <c r="U261" s="8"/>
      <c r="V261" s="8"/>
    </row>
    <row r="262" spans="1:22">
      <c r="A262" s="213" t="s">
        <v>180</v>
      </c>
      <c r="B262" s="211" t="s">
        <v>134</v>
      </c>
      <c r="C262" s="211" t="s">
        <v>260</v>
      </c>
      <c r="D262" s="211" t="s">
        <v>135</v>
      </c>
      <c r="E262" s="211" t="s">
        <v>281</v>
      </c>
      <c r="F262" s="212" t="s">
        <v>181</v>
      </c>
      <c r="G262" s="117">
        <f>3100+1550+24900+10327.5+6457.1+4447.125</f>
        <v>50781.724999999999</v>
      </c>
      <c r="H262" s="121">
        <f>400+740</f>
        <v>1140</v>
      </c>
      <c r="I262" s="121">
        <v>-4650</v>
      </c>
      <c r="J262" s="121">
        <f>1700+1200+530+230</f>
        <v>3660</v>
      </c>
      <c r="K262" s="121"/>
      <c r="L262" s="121"/>
      <c r="M262" s="121">
        <f>100+500</f>
        <v>600</v>
      </c>
      <c r="N262" s="121"/>
      <c r="O262" s="121">
        <f>906.174+300</f>
        <v>1206.174</v>
      </c>
      <c r="P262" s="122"/>
      <c r="Q262" s="122">
        <f>200+400+173+252+457.8</f>
        <v>1482.8</v>
      </c>
      <c r="R262" s="123"/>
      <c r="S262" s="123">
        <f>-212.5+5.85+48.674</f>
        <v>-157.976</v>
      </c>
      <c r="T262" s="124">
        <v>52726.964870000003</v>
      </c>
    </row>
    <row r="263" spans="1:22">
      <c r="A263" s="213" t="s">
        <v>282</v>
      </c>
      <c r="B263" s="209" t="s">
        <v>134</v>
      </c>
      <c r="C263" s="209" t="s">
        <v>260</v>
      </c>
      <c r="D263" s="209" t="s">
        <v>135</v>
      </c>
      <c r="E263" s="209" t="s">
        <v>283</v>
      </c>
      <c r="F263" s="212"/>
      <c r="G263" s="117"/>
      <c r="H263" s="121"/>
      <c r="I263" s="121"/>
      <c r="J263" s="121">
        <f>J264+J265</f>
        <v>6060</v>
      </c>
      <c r="K263" s="121"/>
      <c r="L263" s="121"/>
      <c r="M263" s="121"/>
      <c r="N263" s="121"/>
      <c r="O263" s="121"/>
      <c r="P263" s="122"/>
      <c r="Q263" s="122"/>
      <c r="R263" s="123"/>
      <c r="S263" s="123"/>
      <c r="T263" s="124">
        <f>T264+T265</f>
        <v>6060</v>
      </c>
    </row>
    <row r="264" spans="1:22">
      <c r="A264" s="214" t="s">
        <v>151</v>
      </c>
      <c r="B264" s="211" t="s">
        <v>134</v>
      </c>
      <c r="C264" s="211" t="s">
        <v>260</v>
      </c>
      <c r="D264" s="211" t="s">
        <v>135</v>
      </c>
      <c r="E264" s="211" t="s">
        <v>283</v>
      </c>
      <c r="F264" s="212" t="s">
        <v>152</v>
      </c>
      <c r="G264" s="117"/>
      <c r="H264" s="121"/>
      <c r="I264" s="121"/>
      <c r="J264" s="121">
        <v>2363</v>
      </c>
      <c r="K264" s="121"/>
      <c r="L264" s="121"/>
      <c r="M264" s="121"/>
      <c r="N264" s="121"/>
      <c r="O264" s="121"/>
      <c r="P264" s="122"/>
      <c r="Q264" s="122"/>
      <c r="R264" s="123"/>
      <c r="S264" s="123"/>
      <c r="T264" s="124">
        <v>2363</v>
      </c>
    </row>
    <row r="265" spans="1:22">
      <c r="A265" s="213" t="s">
        <v>180</v>
      </c>
      <c r="B265" s="211" t="s">
        <v>134</v>
      </c>
      <c r="C265" s="211" t="s">
        <v>260</v>
      </c>
      <c r="D265" s="211" t="s">
        <v>135</v>
      </c>
      <c r="E265" s="211" t="s">
        <v>283</v>
      </c>
      <c r="F265" s="212" t="s">
        <v>181</v>
      </c>
      <c r="G265" s="117"/>
      <c r="H265" s="121"/>
      <c r="I265" s="121"/>
      <c r="J265" s="121">
        <v>3697</v>
      </c>
      <c r="K265" s="121"/>
      <c r="L265" s="121"/>
      <c r="M265" s="121"/>
      <c r="N265" s="121"/>
      <c r="O265" s="121"/>
      <c r="P265" s="122"/>
      <c r="Q265" s="122"/>
      <c r="R265" s="123"/>
      <c r="S265" s="123"/>
      <c r="T265" s="124">
        <v>3697</v>
      </c>
    </row>
    <row r="266" spans="1:22" s="6" customFormat="1">
      <c r="A266" s="208" t="s">
        <v>284</v>
      </c>
      <c r="B266" s="209" t="s">
        <v>134</v>
      </c>
      <c r="C266" s="209" t="s">
        <v>260</v>
      </c>
      <c r="D266" s="209" t="s">
        <v>135</v>
      </c>
      <c r="E266" s="209" t="s">
        <v>285</v>
      </c>
      <c r="F266" s="207"/>
      <c r="G266" s="113">
        <f t="shared" ref="G266:T266" si="66">G275+G267</f>
        <v>95960.8</v>
      </c>
      <c r="H266" s="113">
        <f t="shared" si="66"/>
        <v>1903.6</v>
      </c>
      <c r="I266" s="113">
        <f t="shared" si="66"/>
        <v>0</v>
      </c>
      <c r="J266" s="113">
        <f t="shared" si="66"/>
        <v>11100</v>
      </c>
      <c r="K266" s="113">
        <f t="shared" si="66"/>
        <v>0</v>
      </c>
      <c r="L266" s="113">
        <f t="shared" si="66"/>
        <v>0</v>
      </c>
      <c r="M266" s="113">
        <f t="shared" si="66"/>
        <v>0</v>
      </c>
      <c r="N266" s="113"/>
      <c r="O266" s="113">
        <f>O267+O275</f>
        <v>-440</v>
      </c>
      <c r="P266" s="114">
        <f>P267+P275</f>
        <v>20</v>
      </c>
      <c r="Q266" s="114">
        <f>Q267+Q275</f>
        <v>17.934199999999372</v>
      </c>
      <c r="R266" s="113">
        <f>R267+R275</f>
        <v>70</v>
      </c>
      <c r="S266" s="113">
        <f>S267+S275</f>
        <v>-394.75699999999995</v>
      </c>
      <c r="T266" s="116">
        <f t="shared" si="66"/>
        <v>77350.105449999988</v>
      </c>
    </row>
    <row r="267" spans="1:22" s="6" customFormat="1">
      <c r="A267" s="208" t="s">
        <v>176</v>
      </c>
      <c r="B267" s="209" t="s">
        <v>134</v>
      </c>
      <c r="C267" s="209" t="s">
        <v>260</v>
      </c>
      <c r="D267" s="209" t="s">
        <v>135</v>
      </c>
      <c r="E267" s="209" t="s">
        <v>286</v>
      </c>
      <c r="F267" s="207"/>
      <c r="G267" s="113">
        <f>G268+G269+G271+G273+G274+G272</f>
        <v>47927.3</v>
      </c>
      <c r="H267" s="113">
        <f t="shared" ref="H267:M267" si="67">H268+H269+H271+H273+H274+H272</f>
        <v>403.6</v>
      </c>
      <c r="I267" s="113">
        <f t="shared" si="67"/>
        <v>-3174.2</v>
      </c>
      <c r="J267" s="113">
        <f t="shared" si="67"/>
        <v>0</v>
      </c>
      <c r="K267" s="113">
        <f t="shared" si="67"/>
        <v>-88</v>
      </c>
      <c r="L267" s="113">
        <f t="shared" si="67"/>
        <v>0</v>
      </c>
      <c r="M267" s="113">
        <f t="shared" si="67"/>
        <v>-1220.7999999999997</v>
      </c>
      <c r="N267" s="113"/>
      <c r="O267" s="113">
        <f>O268+O269+O271+O272+O273+O274</f>
        <v>-508.57513</v>
      </c>
      <c r="P267" s="114">
        <f>P268+P269+P271+P272+P273+P274</f>
        <v>20</v>
      </c>
      <c r="Q267" s="114">
        <f>Q268+Q269+Q271+Q272+Q273+Q274</f>
        <v>-33.302</v>
      </c>
      <c r="R267" s="113">
        <f>R268+R269+R271+R272+R273+R274</f>
        <v>70</v>
      </c>
      <c r="S267" s="113">
        <f>S268+S269+S271+S272+S273+S274+S270</f>
        <v>-696.70480999999995</v>
      </c>
      <c r="T267" s="116">
        <f>T268+T269+T271+T273+T274+T272+T270</f>
        <v>41449.693299999992</v>
      </c>
    </row>
    <row r="268" spans="1:22">
      <c r="A268" s="213" t="s">
        <v>139</v>
      </c>
      <c r="B268" s="211" t="s">
        <v>134</v>
      </c>
      <c r="C268" s="211" t="s">
        <v>260</v>
      </c>
      <c r="D268" s="211" t="s">
        <v>135</v>
      </c>
      <c r="E268" s="211" t="s">
        <v>286</v>
      </c>
      <c r="F268" s="212" t="s">
        <v>185</v>
      </c>
      <c r="G268" s="117">
        <f>22541.4+6807.5+3368.2+1017.2</f>
        <v>33734.300000000003</v>
      </c>
      <c r="H268" s="121"/>
      <c r="I268" s="121">
        <v>-3174.2</v>
      </c>
      <c r="J268" s="121"/>
      <c r="K268" s="121">
        <f>-88</f>
        <v>-88</v>
      </c>
      <c r="L268" s="121"/>
      <c r="M268" s="121"/>
      <c r="N268" s="121"/>
      <c r="O268" s="121">
        <v>-68.575130000000001</v>
      </c>
      <c r="P268" s="122"/>
      <c r="Q268" s="122"/>
      <c r="R268" s="123">
        <v>6.3</v>
      </c>
      <c r="S268" s="123">
        <f>40.695+94.89735-287.39981-6.3</f>
        <v>-158.10746</v>
      </c>
      <c r="T268" s="124">
        <v>29918.983789999998</v>
      </c>
    </row>
    <row r="269" spans="1:22">
      <c r="A269" s="214" t="s">
        <v>142</v>
      </c>
      <c r="B269" s="211" t="s">
        <v>134</v>
      </c>
      <c r="C269" s="211" t="s">
        <v>260</v>
      </c>
      <c r="D269" s="211" t="s">
        <v>135</v>
      </c>
      <c r="E269" s="211" t="s">
        <v>286</v>
      </c>
      <c r="F269" s="212" t="s">
        <v>235</v>
      </c>
      <c r="G269" s="117">
        <f>1132.4+118.4+7.4+37.8</f>
        <v>1296.0000000000002</v>
      </c>
      <c r="H269" s="121"/>
      <c r="I269" s="121"/>
      <c r="J269" s="121"/>
      <c r="K269" s="121"/>
      <c r="L269" s="121"/>
      <c r="M269" s="121"/>
      <c r="N269" s="121"/>
      <c r="O269" s="121">
        <f>-7.1957+20</f>
        <v>12.8043</v>
      </c>
      <c r="P269" s="122"/>
      <c r="Q269" s="122"/>
      <c r="R269" s="123"/>
      <c r="S269" s="123">
        <f>-45.81+6.3</f>
        <v>-39.510000000000005</v>
      </c>
      <c r="T269" s="124">
        <v>1131.7828999999999</v>
      </c>
    </row>
    <row r="270" spans="1:22" ht="22.5">
      <c r="A270" s="214" t="s">
        <v>149</v>
      </c>
      <c r="B270" s="211" t="s">
        <v>134</v>
      </c>
      <c r="C270" s="211" t="s">
        <v>260</v>
      </c>
      <c r="D270" s="211" t="s">
        <v>135</v>
      </c>
      <c r="E270" s="211" t="s">
        <v>286</v>
      </c>
      <c r="F270" s="212" t="s">
        <v>150</v>
      </c>
      <c r="G270" s="117"/>
      <c r="H270" s="121"/>
      <c r="I270" s="121"/>
      <c r="J270" s="121"/>
      <c r="K270" s="121"/>
      <c r="L270" s="121"/>
      <c r="M270" s="121"/>
      <c r="N270" s="121"/>
      <c r="O270" s="121"/>
      <c r="P270" s="122"/>
      <c r="Q270" s="122"/>
      <c r="R270" s="123"/>
      <c r="S270" s="123">
        <f>4.5+1.2</f>
        <v>5.7</v>
      </c>
      <c r="T270" s="124">
        <v>5.7</v>
      </c>
    </row>
    <row r="271" spans="1:22">
      <c r="A271" s="214" t="s">
        <v>151</v>
      </c>
      <c r="B271" s="211" t="s">
        <v>134</v>
      </c>
      <c r="C271" s="211" t="s">
        <v>260</v>
      </c>
      <c r="D271" s="211" t="s">
        <v>135</v>
      </c>
      <c r="E271" s="211" t="s">
        <v>286</v>
      </c>
      <c r="F271" s="212" t="s">
        <v>152</v>
      </c>
      <c r="G271" s="117">
        <f>8478.4+38.6+47.2+1690.8+1262.2</f>
        <v>11517.2</v>
      </c>
      <c r="H271" s="121">
        <f>403.6</f>
        <v>403.6</v>
      </c>
      <c r="I271" s="121"/>
      <c r="J271" s="121"/>
      <c r="K271" s="121">
        <f>-1-1.5</f>
        <v>-2.5</v>
      </c>
      <c r="L271" s="121"/>
      <c r="M271" s="121">
        <f>-14.5-13.55-7-1690.8+470</f>
        <v>-1255.8499999999999</v>
      </c>
      <c r="N271" s="121"/>
      <c r="O271" s="121">
        <f>-1.7-7-1.75-0.1+7.1957-20-440</f>
        <v>-463.35430000000002</v>
      </c>
      <c r="P271" s="122">
        <v>20</v>
      </c>
      <c r="Q271" s="122"/>
      <c r="R271" s="123">
        <v>63.7</v>
      </c>
      <c r="S271" s="123">
        <f>-4.5-1.2-94.89735+53.18734-450</f>
        <v>-497.41001</v>
      </c>
      <c r="T271" s="124">
        <v>9066.0004900000004</v>
      </c>
      <c r="U271" s="8"/>
    </row>
    <row r="272" spans="1:22" ht="22.5">
      <c r="A272" s="214" t="s">
        <v>349</v>
      </c>
      <c r="B272" s="211" t="s">
        <v>134</v>
      </c>
      <c r="C272" s="211" t="s">
        <v>260</v>
      </c>
      <c r="D272" s="211" t="s">
        <v>135</v>
      </c>
      <c r="E272" s="211" t="s">
        <v>286</v>
      </c>
      <c r="F272" s="212" t="s">
        <v>350</v>
      </c>
      <c r="G272" s="117"/>
      <c r="H272" s="121"/>
      <c r="I272" s="121"/>
      <c r="J272" s="121"/>
      <c r="K272" s="121"/>
      <c r="L272" s="121"/>
      <c r="M272" s="121">
        <v>7</v>
      </c>
      <c r="N272" s="121"/>
      <c r="O272" s="121">
        <f>1.7+1.75</f>
        <v>3.45</v>
      </c>
      <c r="P272" s="122"/>
      <c r="Q272" s="122"/>
      <c r="R272" s="123"/>
      <c r="S272" s="123"/>
      <c r="T272" s="124">
        <v>8.91357</v>
      </c>
    </row>
    <row r="273" spans="1:20">
      <c r="A273" s="217" t="s">
        <v>155</v>
      </c>
      <c r="B273" s="211" t="s">
        <v>134</v>
      </c>
      <c r="C273" s="211" t="s">
        <v>260</v>
      </c>
      <c r="D273" s="211" t="s">
        <v>135</v>
      </c>
      <c r="E273" s="211" t="s">
        <v>286</v>
      </c>
      <c r="F273" s="212" t="s">
        <v>156</v>
      </c>
      <c r="G273" s="117">
        <v>1379.8</v>
      </c>
      <c r="H273" s="121"/>
      <c r="I273" s="121"/>
      <c r="J273" s="121"/>
      <c r="K273" s="121"/>
      <c r="L273" s="121"/>
      <c r="M273" s="121">
        <f>14.302+13.55</f>
        <v>27.852</v>
      </c>
      <c r="N273" s="121"/>
      <c r="O273" s="121">
        <v>-0.7</v>
      </c>
      <c r="P273" s="122"/>
      <c r="Q273" s="122">
        <f>-0.064-33.302</f>
        <v>-33.366</v>
      </c>
      <c r="R273" s="123"/>
      <c r="S273" s="123">
        <f>0.0576-6.713</f>
        <v>-6.6554000000000002</v>
      </c>
      <c r="T273" s="124">
        <v>1311.86</v>
      </c>
    </row>
    <row r="274" spans="1:20">
      <c r="A274" s="217" t="s">
        <v>157</v>
      </c>
      <c r="B274" s="211" t="s">
        <v>134</v>
      </c>
      <c r="C274" s="211" t="s">
        <v>260</v>
      </c>
      <c r="D274" s="211" t="s">
        <v>135</v>
      </c>
      <c r="E274" s="211" t="s">
        <v>286</v>
      </c>
      <c r="F274" s="212" t="s">
        <v>158</v>
      </c>
      <c r="G274" s="117"/>
      <c r="H274" s="121"/>
      <c r="I274" s="121"/>
      <c r="J274" s="121"/>
      <c r="K274" s="121">
        <f>1+1.5</f>
        <v>2.5</v>
      </c>
      <c r="L274" s="121"/>
      <c r="M274" s="121">
        <f>0.198</f>
        <v>0.19800000000000001</v>
      </c>
      <c r="N274" s="121"/>
      <c r="O274" s="121">
        <f>7+0.1+0.7</f>
        <v>7.8</v>
      </c>
      <c r="P274" s="122"/>
      <c r="Q274" s="122">
        <v>6.4000000000000001E-2</v>
      </c>
      <c r="R274" s="123"/>
      <c r="S274" s="123">
        <f>-0.0576-0.66434</f>
        <v>-0.72194000000000003</v>
      </c>
      <c r="T274" s="124">
        <v>6.4525499999999996</v>
      </c>
    </row>
    <row r="275" spans="1:20" s="6" customFormat="1">
      <c r="A275" s="208" t="s">
        <v>176</v>
      </c>
      <c r="B275" s="209" t="s">
        <v>134</v>
      </c>
      <c r="C275" s="209" t="s">
        <v>260</v>
      </c>
      <c r="D275" s="209" t="s">
        <v>135</v>
      </c>
      <c r="E275" s="209" t="s">
        <v>286</v>
      </c>
      <c r="F275" s="207"/>
      <c r="G275" s="113">
        <f>G276+G279+G277+G278</f>
        <v>48033.5</v>
      </c>
      <c r="H275" s="113">
        <f t="shared" ref="H275:T275" si="68">H276+H279+H277+H278</f>
        <v>1500</v>
      </c>
      <c r="I275" s="113">
        <f t="shared" si="68"/>
        <v>3174.2</v>
      </c>
      <c r="J275" s="113">
        <f t="shared" si="68"/>
        <v>11100</v>
      </c>
      <c r="K275" s="113">
        <f t="shared" si="68"/>
        <v>88</v>
      </c>
      <c r="L275" s="113">
        <f t="shared" si="68"/>
        <v>0</v>
      </c>
      <c r="M275" s="113">
        <f t="shared" si="68"/>
        <v>1220.8</v>
      </c>
      <c r="N275" s="113">
        <f t="shared" si="68"/>
        <v>0</v>
      </c>
      <c r="O275" s="113">
        <f t="shared" si="68"/>
        <v>68.575130000000001</v>
      </c>
      <c r="P275" s="114">
        <f t="shared" si="68"/>
        <v>0</v>
      </c>
      <c r="Q275" s="114">
        <f t="shared" si="68"/>
        <v>51.236199999999371</v>
      </c>
      <c r="R275" s="113">
        <f t="shared" si="68"/>
        <v>0</v>
      </c>
      <c r="S275" s="113">
        <f t="shared" si="68"/>
        <v>301.94781</v>
      </c>
      <c r="T275" s="114">
        <f t="shared" si="68"/>
        <v>35900.412149999996</v>
      </c>
    </row>
    <row r="276" spans="1:20" ht="33.75">
      <c r="A276" s="214" t="s">
        <v>178</v>
      </c>
      <c r="B276" s="211" t="s">
        <v>134</v>
      </c>
      <c r="C276" s="211" t="s">
        <v>260</v>
      </c>
      <c r="D276" s="211" t="s">
        <v>135</v>
      </c>
      <c r="E276" s="211" t="s">
        <v>286</v>
      </c>
      <c r="F276" s="212" t="s">
        <v>179</v>
      </c>
      <c r="G276" s="117">
        <f>14634.99+5601.04+7014.14</f>
        <v>27250.17</v>
      </c>
      <c r="H276" s="121"/>
      <c r="I276" s="121">
        <v>3174.2</v>
      </c>
      <c r="J276" s="121"/>
      <c r="K276" s="121">
        <v>88</v>
      </c>
      <c r="L276" s="121"/>
      <c r="M276" s="121">
        <v>1220.8</v>
      </c>
      <c r="N276" s="121"/>
      <c r="O276" s="139">
        <v>68.575130000000001</v>
      </c>
      <c r="P276" s="140"/>
      <c r="Q276" s="140"/>
      <c r="R276" s="141"/>
      <c r="S276" s="141">
        <f>287.39981-18.462</f>
        <v>268.93781000000001</v>
      </c>
      <c r="T276" s="124">
        <v>32070.682939999999</v>
      </c>
    </row>
    <row r="277" spans="1:20">
      <c r="A277" s="213" t="s">
        <v>180</v>
      </c>
      <c r="B277" s="211" t="s">
        <v>134</v>
      </c>
      <c r="C277" s="211" t="s">
        <v>260</v>
      </c>
      <c r="D277" s="211" t="s">
        <v>135</v>
      </c>
      <c r="E277" s="211" t="s">
        <v>286</v>
      </c>
      <c r="F277" s="212" t="s">
        <v>181</v>
      </c>
      <c r="G277" s="117">
        <f>444.81+136.86+201.66</f>
        <v>783.33</v>
      </c>
      <c r="H277" s="121">
        <v>1500</v>
      </c>
      <c r="I277" s="121"/>
      <c r="J277" s="121">
        <v>300</v>
      </c>
      <c r="K277" s="121"/>
      <c r="L277" s="121"/>
      <c r="M277" s="121"/>
      <c r="N277" s="121"/>
      <c r="O277" s="121"/>
      <c r="P277" s="122"/>
      <c r="Q277" s="122">
        <v>51.236199999999997</v>
      </c>
      <c r="R277" s="123"/>
      <c r="S277" s="123">
        <v>33.01</v>
      </c>
      <c r="T277" s="124">
        <v>2487.8856999999998</v>
      </c>
    </row>
    <row r="278" spans="1:20" ht="33.75">
      <c r="A278" s="217" t="s">
        <v>582</v>
      </c>
      <c r="B278" s="211" t="s">
        <v>134</v>
      </c>
      <c r="C278" s="211" t="s">
        <v>260</v>
      </c>
      <c r="D278" s="211" t="s">
        <v>135</v>
      </c>
      <c r="E278" s="211" t="s">
        <v>286</v>
      </c>
      <c r="F278" s="212" t="s">
        <v>583</v>
      </c>
      <c r="G278" s="117"/>
      <c r="H278" s="121"/>
      <c r="I278" s="121"/>
      <c r="J278" s="121"/>
      <c r="K278" s="121"/>
      <c r="L278" s="121"/>
      <c r="M278" s="121"/>
      <c r="N278" s="121"/>
      <c r="O278" s="121"/>
      <c r="P278" s="122"/>
      <c r="Q278" s="122">
        <v>30411.45349</v>
      </c>
      <c r="R278" s="123"/>
      <c r="S278" s="123"/>
      <c r="T278" s="124">
        <v>953.29700000000003</v>
      </c>
    </row>
    <row r="279" spans="1:20" ht="33.75">
      <c r="A279" s="210" t="s">
        <v>264</v>
      </c>
      <c r="B279" s="211" t="s">
        <v>134</v>
      </c>
      <c r="C279" s="211" t="s">
        <v>260</v>
      </c>
      <c r="D279" s="211" t="s">
        <v>135</v>
      </c>
      <c r="E279" s="211" t="s">
        <v>286</v>
      </c>
      <c r="F279" s="212" t="s">
        <v>265</v>
      </c>
      <c r="G279" s="117">
        <v>20000</v>
      </c>
      <c r="H279" s="121"/>
      <c r="I279" s="121"/>
      <c r="J279" s="121">
        <v>10800</v>
      </c>
      <c r="K279" s="121"/>
      <c r="L279" s="121"/>
      <c r="M279" s="121"/>
      <c r="N279" s="121"/>
      <c r="O279" s="121"/>
      <c r="P279" s="122"/>
      <c r="Q279" s="122">
        <v>-30411.45349</v>
      </c>
      <c r="R279" s="123"/>
      <c r="S279" s="123"/>
      <c r="T279" s="124">
        <v>388.54651000000001</v>
      </c>
    </row>
    <row r="280" spans="1:20" s="7" customFormat="1" ht="22.5">
      <c r="A280" s="222" t="s">
        <v>287</v>
      </c>
      <c r="B280" s="209" t="s">
        <v>134</v>
      </c>
      <c r="C280" s="209" t="s">
        <v>260</v>
      </c>
      <c r="D280" s="209" t="s">
        <v>135</v>
      </c>
      <c r="E280" s="209" t="s">
        <v>288</v>
      </c>
      <c r="F280" s="207"/>
      <c r="G280" s="113">
        <f t="shared" ref="G280:T280" si="69">G281+G283</f>
        <v>7400</v>
      </c>
      <c r="H280" s="113">
        <f t="shared" si="69"/>
        <v>0</v>
      </c>
      <c r="I280" s="113">
        <f t="shared" si="69"/>
        <v>0</v>
      </c>
      <c r="J280" s="113">
        <f t="shared" si="69"/>
        <v>0</v>
      </c>
      <c r="K280" s="113">
        <f t="shared" si="69"/>
        <v>0</v>
      </c>
      <c r="L280" s="113">
        <f t="shared" si="69"/>
        <v>0</v>
      </c>
      <c r="M280" s="113">
        <f t="shared" si="69"/>
        <v>0</v>
      </c>
      <c r="N280" s="113"/>
      <c r="O280" s="113"/>
      <c r="P280" s="114"/>
      <c r="Q280" s="114"/>
      <c r="R280" s="115">
        <f>R282+R284</f>
        <v>39.800000000000004</v>
      </c>
      <c r="S280" s="115"/>
      <c r="T280" s="116">
        <f t="shared" si="69"/>
        <v>7584.9909600000001</v>
      </c>
    </row>
    <row r="281" spans="1:20">
      <c r="A281" s="242" t="s">
        <v>287</v>
      </c>
      <c r="B281" s="211" t="s">
        <v>134</v>
      </c>
      <c r="C281" s="211" t="s">
        <v>260</v>
      </c>
      <c r="D281" s="211" t="s">
        <v>135</v>
      </c>
      <c r="E281" s="211" t="s">
        <v>288</v>
      </c>
      <c r="F281" s="212"/>
      <c r="G281" s="117">
        <f>G282</f>
        <v>1349</v>
      </c>
      <c r="H281" s="117">
        <f>H282</f>
        <v>0</v>
      </c>
      <c r="I281" s="117">
        <f>I282</f>
        <v>99.5</v>
      </c>
      <c r="J281" s="117"/>
      <c r="K281" s="117"/>
      <c r="L281" s="117"/>
      <c r="M281" s="117"/>
      <c r="N281" s="117"/>
      <c r="O281" s="117"/>
      <c r="P281" s="118"/>
      <c r="Q281" s="118"/>
      <c r="R281" s="119"/>
      <c r="S281" s="119"/>
      <c r="T281" s="120">
        <f>T282</f>
        <v>1651.8582899999999</v>
      </c>
    </row>
    <row r="282" spans="1:20">
      <c r="A282" s="213" t="s">
        <v>139</v>
      </c>
      <c r="B282" s="211" t="s">
        <v>134</v>
      </c>
      <c r="C282" s="211" t="s">
        <v>260</v>
      </c>
      <c r="D282" s="211" t="s">
        <v>135</v>
      </c>
      <c r="E282" s="211" t="s">
        <v>288</v>
      </c>
      <c r="F282" s="212" t="s">
        <v>185</v>
      </c>
      <c r="G282" s="117">
        <v>1349</v>
      </c>
      <c r="H282" s="121"/>
      <c r="I282" s="121">
        <v>99.5</v>
      </c>
      <c r="J282" s="121"/>
      <c r="K282" s="121"/>
      <c r="L282" s="121"/>
      <c r="M282" s="121"/>
      <c r="N282" s="121"/>
      <c r="O282" s="121"/>
      <c r="P282" s="122"/>
      <c r="Q282" s="122"/>
      <c r="R282" s="123">
        <v>0.62553999999999998</v>
      </c>
      <c r="S282" s="123"/>
      <c r="T282" s="124">
        <v>1651.8582899999999</v>
      </c>
    </row>
    <row r="283" spans="1:20">
      <c r="A283" s="242" t="s">
        <v>287</v>
      </c>
      <c r="B283" s="211" t="s">
        <v>134</v>
      </c>
      <c r="C283" s="211" t="s">
        <v>260</v>
      </c>
      <c r="D283" s="211" t="s">
        <v>135</v>
      </c>
      <c r="E283" s="211" t="s">
        <v>288</v>
      </c>
      <c r="F283" s="212"/>
      <c r="G283" s="117">
        <f>G284</f>
        <v>6051</v>
      </c>
      <c r="H283" s="117">
        <f>H284</f>
        <v>0</v>
      </c>
      <c r="I283" s="117">
        <f>I284</f>
        <v>-99.5</v>
      </c>
      <c r="J283" s="117"/>
      <c r="K283" s="117"/>
      <c r="L283" s="117"/>
      <c r="M283" s="117"/>
      <c r="N283" s="117"/>
      <c r="O283" s="117"/>
      <c r="P283" s="118"/>
      <c r="Q283" s="118"/>
      <c r="R283" s="119"/>
      <c r="S283" s="119"/>
      <c r="T283" s="120">
        <f>T284</f>
        <v>5933.13267</v>
      </c>
    </row>
    <row r="284" spans="1:20">
      <c r="A284" s="213" t="s">
        <v>180</v>
      </c>
      <c r="B284" s="211" t="s">
        <v>134</v>
      </c>
      <c r="C284" s="211" t="s">
        <v>260</v>
      </c>
      <c r="D284" s="211" t="s">
        <v>135</v>
      </c>
      <c r="E284" s="211" t="s">
        <v>288</v>
      </c>
      <c r="F284" s="212" t="s">
        <v>181</v>
      </c>
      <c r="G284" s="117">
        <v>6051</v>
      </c>
      <c r="H284" s="121"/>
      <c r="I284" s="121">
        <v>-99.5</v>
      </c>
      <c r="J284" s="121"/>
      <c r="K284" s="121"/>
      <c r="L284" s="121"/>
      <c r="M284" s="121"/>
      <c r="N284" s="121"/>
      <c r="O284" s="121"/>
      <c r="P284" s="122"/>
      <c r="Q284" s="122"/>
      <c r="R284" s="123">
        <v>39.174460000000003</v>
      </c>
      <c r="S284" s="123"/>
      <c r="T284" s="124">
        <v>5933.13267</v>
      </c>
    </row>
    <row r="285" spans="1:20" s="6" customFormat="1" ht="33.75">
      <c r="A285" s="243" t="s">
        <v>426</v>
      </c>
      <c r="B285" s="209" t="s">
        <v>134</v>
      </c>
      <c r="C285" s="209" t="s">
        <v>260</v>
      </c>
      <c r="D285" s="209" t="s">
        <v>135</v>
      </c>
      <c r="E285" s="209" t="s">
        <v>430</v>
      </c>
      <c r="F285" s="207"/>
      <c r="G285" s="113"/>
      <c r="H285" s="125"/>
      <c r="I285" s="125"/>
      <c r="J285" s="125"/>
      <c r="K285" s="125"/>
      <c r="L285" s="125"/>
      <c r="M285" s="125"/>
      <c r="N285" s="125"/>
      <c r="O285" s="125"/>
      <c r="P285" s="126"/>
      <c r="Q285" s="126">
        <f>Q286</f>
        <v>0</v>
      </c>
      <c r="R285" s="125"/>
      <c r="S285" s="125"/>
      <c r="T285" s="126">
        <f>T286</f>
        <v>0</v>
      </c>
    </row>
    <row r="286" spans="1:20">
      <c r="A286" s="213" t="s">
        <v>139</v>
      </c>
      <c r="B286" s="211" t="s">
        <v>134</v>
      </c>
      <c r="C286" s="211" t="s">
        <v>260</v>
      </c>
      <c r="D286" s="211" t="s">
        <v>135</v>
      </c>
      <c r="E286" s="211" t="s">
        <v>430</v>
      </c>
      <c r="F286" s="212" t="s">
        <v>185</v>
      </c>
      <c r="G286" s="117"/>
      <c r="H286" s="121"/>
      <c r="I286" s="121"/>
      <c r="J286" s="121"/>
      <c r="K286" s="121"/>
      <c r="L286" s="121"/>
      <c r="M286" s="121"/>
      <c r="N286" s="121"/>
      <c r="O286" s="121"/>
      <c r="P286" s="122"/>
      <c r="Q286" s="122"/>
      <c r="R286" s="123"/>
      <c r="S286" s="123"/>
      <c r="T286" s="124">
        <f>Q286</f>
        <v>0</v>
      </c>
    </row>
    <row r="287" spans="1:20" s="7" customFormat="1" ht="55.5" customHeight="1">
      <c r="A287" s="222" t="s">
        <v>289</v>
      </c>
      <c r="B287" s="209" t="s">
        <v>134</v>
      </c>
      <c r="C287" s="209" t="s">
        <v>260</v>
      </c>
      <c r="D287" s="209" t="s">
        <v>135</v>
      </c>
      <c r="E287" s="209" t="s">
        <v>290</v>
      </c>
      <c r="F287" s="207"/>
      <c r="G287" s="113">
        <f t="shared" ref="G287:M287" si="70">G288+G289+G291+G292+G293+G290</f>
        <v>92452.2</v>
      </c>
      <c r="H287" s="113">
        <f t="shared" si="70"/>
        <v>0</v>
      </c>
      <c r="I287" s="113">
        <f t="shared" si="70"/>
        <v>0</v>
      </c>
      <c r="J287" s="113">
        <f t="shared" si="70"/>
        <v>109.274</v>
      </c>
      <c r="K287" s="113">
        <f t="shared" si="70"/>
        <v>0</v>
      </c>
      <c r="L287" s="113">
        <f t="shared" si="70"/>
        <v>8582</v>
      </c>
      <c r="M287" s="113">
        <f t="shared" si="70"/>
        <v>0</v>
      </c>
      <c r="N287" s="113"/>
      <c r="O287" s="113">
        <f>O288+O289+O290+O291+O292+O293</f>
        <v>0</v>
      </c>
      <c r="P287" s="114">
        <f>P288+P289+P290+P291+P292+P293</f>
        <v>1626.4</v>
      </c>
      <c r="Q287" s="114">
        <f>Q288+Q289+Q290+Q291+Q292+Q293</f>
        <v>0</v>
      </c>
      <c r="R287" s="113">
        <f>R288+R289+R290+R291+R292+R293</f>
        <v>4843</v>
      </c>
      <c r="S287" s="113">
        <f>S288+S289+S290+S291+S292+S293</f>
        <v>0</v>
      </c>
      <c r="T287" s="116">
        <f>T288+T289+T291+T292+T293+T290</f>
        <v>102190.78270000001</v>
      </c>
    </row>
    <row r="288" spans="1:20">
      <c r="A288" s="213" t="s">
        <v>139</v>
      </c>
      <c r="B288" s="211" t="s">
        <v>134</v>
      </c>
      <c r="C288" s="211" t="s">
        <v>260</v>
      </c>
      <c r="D288" s="211" t="s">
        <v>135</v>
      </c>
      <c r="E288" s="211" t="s">
        <v>290</v>
      </c>
      <c r="F288" s="212" t="s">
        <v>185</v>
      </c>
      <c r="G288" s="117">
        <v>56631.8</v>
      </c>
      <c r="H288" s="121"/>
      <c r="I288" s="121"/>
      <c r="J288" s="121">
        <f>20.8+88.474</f>
        <v>109.274</v>
      </c>
      <c r="K288" s="121"/>
      <c r="L288" s="121">
        <v>5598.1</v>
      </c>
      <c r="M288" s="121"/>
      <c r="N288" s="121"/>
      <c r="O288" s="121">
        <v>-467.9</v>
      </c>
      <c r="P288" s="122"/>
      <c r="Q288" s="122"/>
      <c r="R288" s="123">
        <f>2028+729+2086</f>
        <v>4843</v>
      </c>
      <c r="S288" s="123"/>
      <c r="T288" s="124">
        <v>65077.249779999998</v>
      </c>
    </row>
    <row r="289" spans="1:22">
      <c r="A289" s="214" t="s">
        <v>142</v>
      </c>
      <c r="B289" s="211" t="s">
        <v>134</v>
      </c>
      <c r="C289" s="211" t="s">
        <v>260</v>
      </c>
      <c r="D289" s="211" t="s">
        <v>135</v>
      </c>
      <c r="E289" s="211" t="s">
        <v>290</v>
      </c>
      <c r="F289" s="212" t="s">
        <v>235</v>
      </c>
      <c r="G289" s="117">
        <v>3140.4</v>
      </c>
      <c r="H289" s="121"/>
      <c r="I289" s="121"/>
      <c r="J289" s="121"/>
      <c r="K289" s="121">
        <f>-400-134.10992</f>
        <v>-534.10991999999999</v>
      </c>
      <c r="L289" s="121">
        <v>467.9</v>
      </c>
      <c r="M289" s="121">
        <f>-62.42915-30.8-75.5</f>
        <v>-168.72915</v>
      </c>
      <c r="N289" s="121"/>
      <c r="O289" s="121"/>
      <c r="P289" s="122"/>
      <c r="Q289" s="122">
        <f>-1465.68085-160</f>
        <v>-1625.68085</v>
      </c>
      <c r="R289" s="123"/>
      <c r="S289" s="123"/>
      <c r="T289" s="124">
        <v>1216.8990799999999</v>
      </c>
    </row>
    <row r="290" spans="1:22" ht="22.5">
      <c r="A290" s="214" t="s">
        <v>149</v>
      </c>
      <c r="B290" s="211" t="s">
        <v>134</v>
      </c>
      <c r="C290" s="211" t="s">
        <v>260</v>
      </c>
      <c r="D290" s="211" t="s">
        <v>135</v>
      </c>
      <c r="E290" s="211" t="s">
        <v>290</v>
      </c>
      <c r="F290" s="212" t="s">
        <v>150</v>
      </c>
      <c r="G290" s="117">
        <v>225</v>
      </c>
      <c r="H290" s="121"/>
      <c r="I290" s="121"/>
      <c r="J290" s="121"/>
      <c r="K290" s="121">
        <v>-100</v>
      </c>
      <c r="L290" s="121">
        <v>54.4</v>
      </c>
      <c r="M290" s="121">
        <f>20.60992+5</f>
        <v>25.609919999999999</v>
      </c>
      <c r="N290" s="121"/>
      <c r="O290" s="121"/>
      <c r="P290" s="122">
        <v>23</v>
      </c>
      <c r="Q290" s="122"/>
      <c r="R290" s="123"/>
      <c r="S290" s="123">
        <v>30.277259999999998</v>
      </c>
      <c r="T290" s="124">
        <v>233.92238</v>
      </c>
    </row>
    <row r="291" spans="1:22">
      <c r="A291" s="214" t="s">
        <v>151</v>
      </c>
      <c r="B291" s="211" t="s">
        <v>134</v>
      </c>
      <c r="C291" s="211" t="s">
        <v>260</v>
      </c>
      <c r="D291" s="211" t="s">
        <v>135</v>
      </c>
      <c r="E291" s="211" t="s">
        <v>290</v>
      </c>
      <c r="F291" s="212" t="s">
        <v>152</v>
      </c>
      <c r="G291" s="117">
        <v>31609.9</v>
      </c>
      <c r="H291" s="121"/>
      <c r="I291" s="121"/>
      <c r="J291" s="121"/>
      <c r="K291" s="121">
        <f>500+20.60992</f>
        <v>520.60991999999999</v>
      </c>
      <c r="L291" s="121">
        <v>2241.5</v>
      </c>
      <c r="M291" s="121">
        <f>-20.60992+55.02915+25+74.7</f>
        <v>134.11923000000002</v>
      </c>
      <c r="N291" s="121"/>
      <c r="O291" s="121">
        <v>467.9</v>
      </c>
      <c r="P291" s="122">
        <v>1603.4</v>
      </c>
      <c r="Q291" s="122">
        <f>1315.68085+23+160</f>
        <v>1498.68085</v>
      </c>
      <c r="R291" s="123"/>
      <c r="S291" s="123">
        <v>-30.277259999999998</v>
      </c>
      <c r="T291" s="124">
        <v>34384.027800000003</v>
      </c>
    </row>
    <row r="292" spans="1:22">
      <c r="A292" s="217" t="s">
        <v>155</v>
      </c>
      <c r="B292" s="211" t="s">
        <v>134</v>
      </c>
      <c r="C292" s="211" t="s">
        <v>260</v>
      </c>
      <c r="D292" s="211" t="s">
        <v>135</v>
      </c>
      <c r="E292" s="211" t="s">
        <v>290</v>
      </c>
      <c r="F292" s="212" t="s">
        <v>156</v>
      </c>
      <c r="G292" s="117">
        <v>751.7</v>
      </c>
      <c r="H292" s="121"/>
      <c r="I292" s="121"/>
      <c r="J292" s="121"/>
      <c r="K292" s="121">
        <v>113.5</v>
      </c>
      <c r="L292" s="121">
        <v>220.1</v>
      </c>
      <c r="M292" s="121"/>
      <c r="N292" s="121"/>
      <c r="O292" s="121">
        <f>-8-2.4</f>
        <v>-10.4</v>
      </c>
      <c r="P292" s="122"/>
      <c r="Q292" s="122">
        <f>150+7-18</f>
        <v>139</v>
      </c>
      <c r="R292" s="123"/>
      <c r="S292" s="123"/>
      <c r="T292" s="124">
        <v>1183.941</v>
      </c>
    </row>
    <row r="293" spans="1:22">
      <c r="A293" s="217" t="s">
        <v>157</v>
      </c>
      <c r="B293" s="211" t="s">
        <v>134</v>
      </c>
      <c r="C293" s="211" t="s">
        <v>260</v>
      </c>
      <c r="D293" s="211" t="s">
        <v>135</v>
      </c>
      <c r="E293" s="211" t="s">
        <v>290</v>
      </c>
      <c r="F293" s="212" t="s">
        <v>158</v>
      </c>
      <c r="G293" s="117">
        <v>93.4</v>
      </c>
      <c r="H293" s="121"/>
      <c r="I293" s="121"/>
      <c r="J293" s="121"/>
      <c r="K293" s="121"/>
      <c r="L293" s="121"/>
      <c r="M293" s="121">
        <f>7.4+0.8+0.8</f>
        <v>9.0000000000000018</v>
      </c>
      <c r="N293" s="121"/>
      <c r="O293" s="121">
        <f>8+2.4</f>
        <v>10.4</v>
      </c>
      <c r="P293" s="122"/>
      <c r="Q293" s="122">
        <f>-30+18</f>
        <v>-12</v>
      </c>
      <c r="R293" s="123"/>
      <c r="S293" s="123"/>
      <c r="T293" s="124">
        <v>94.742660000000001</v>
      </c>
    </row>
    <row r="294" spans="1:22" s="7" customFormat="1" ht="22.5">
      <c r="A294" s="208" t="s">
        <v>291</v>
      </c>
      <c r="B294" s="209" t="s">
        <v>134</v>
      </c>
      <c r="C294" s="209" t="s">
        <v>260</v>
      </c>
      <c r="D294" s="209" t="s">
        <v>135</v>
      </c>
      <c r="E294" s="209" t="s">
        <v>292</v>
      </c>
      <c r="F294" s="207"/>
      <c r="G294" s="132">
        <f t="shared" ref="G294:M294" si="71">G295+G298</f>
        <v>329073.59999999998</v>
      </c>
      <c r="H294" s="132">
        <f t="shared" si="71"/>
        <v>0</v>
      </c>
      <c r="I294" s="132">
        <f t="shared" si="71"/>
        <v>0</v>
      </c>
      <c r="J294" s="132">
        <f t="shared" si="71"/>
        <v>0</v>
      </c>
      <c r="K294" s="132">
        <f t="shared" si="71"/>
        <v>0</v>
      </c>
      <c r="L294" s="132">
        <f t="shared" si="71"/>
        <v>534.59999999999991</v>
      </c>
      <c r="M294" s="132">
        <f t="shared" si="71"/>
        <v>0</v>
      </c>
      <c r="N294" s="132"/>
      <c r="O294" s="132">
        <f t="shared" ref="O294:T294" si="72">O295+O298</f>
        <v>7.1054273576010019E-15</v>
      </c>
      <c r="P294" s="133">
        <f t="shared" si="72"/>
        <v>1057.3120000000004</v>
      </c>
      <c r="Q294" s="133">
        <f t="shared" si="72"/>
        <v>0</v>
      </c>
      <c r="R294" s="132">
        <f t="shared" si="72"/>
        <v>29090</v>
      </c>
      <c r="S294" s="132">
        <f>S295+S298+S297</f>
        <v>0</v>
      </c>
      <c r="T294" s="135">
        <f t="shared" si="72"/>
        <v>356984.01568000001</v>
      </c>
    </row>
    <row r="295" spans="1:22" s="6" customFormat="1">
      <c r="A295" s="208" t="s">
        <v>293</v>
      </c>
      <c r="B295" s="209" t="s">
        <v>134</v>
      </c>
      <c r="C295" s="209" t="s">
        <v>260</v>
      </c>
      <c r="D295" s="209" t="s">
        <v>135</v>
      </c>
      <c r="E295" s="209" t="s">
        <v>292</v>
      </c>
      <c r="F295" s="207"/>
      <c r="G295" s="113">
        <f t="shared" ref="G295:T295" si="73">G296+G297</f>
        <v>66065.100000000006</v>
      </c>
      <c r="H295" s="113">
        <f t="shared" si="73"/>
        <v>0</v>
      </c>
      <c r="I295" s="113">
        <f t="shared" si="73"/>
        <v>0</v>
      </c>
      <c r="J295" s="113">
        <f t="shared" si="73"/>
        <v>0</v>
      </c>
      <c r="K295" s="113">
        <f t="shared" si="73"/>
        <v>0</v>
      </c>
      <c r="L295" s="113">
        <f t="shared" si="73"/>
        <v>714.9</v>
      </c>
      <c r="M295" s="113">
        <f t="shared" si="73"/>
        <v>0</v>
      </c>
      <c r="N295" s="113"/>
      <c r="O295" s="113">
        <f>O296+O297</f>
        <v>5.6595399999999998</v>
      </c>
      <c r="P295" s="114">
        <f>P296+P297</f>
        <v>-2200.1549999999997</v>
      </c>
      <c r="Q295" s="114">
        <f>Q296+Q297</f>
        <v>0</v>
      </c>
      <c r="R295" s="115">
        <f>R296</f>
        <v>4259.8844499999996</v>
      </c>
      <c r="S295" s="115">
        <f>S296</f>
        <v>-78.71893</v>
      </c>
      <c r="T295" s="116">
        <f t="shared" si="73"/>
        <v>66728.515650000001</v>
      </c>
    </row>
    <row r="296" spans="1:22">
      <c r="A296" s="213" t="s">
        <v>139</v>
      </c>
      <c r="B296" s="211" t="s">
        <v>134</v>
      </c>
      <c r="C296" s="211" t="s">
        <v>260</v>
      </c>
      <c r="D296" s="211" t="s">
        <v>135</v>
      </c>
      <c r="E296" s="211" t="s">
        <v>292</v>
      </c>
      <c r="F296" s="212" t="s">
        <v>185</v>
      </c>
      <c r="G296" s="117">
        <v>63508.800000000003</v>
      </c>
      <c r="H296" s="121"/>
      <c r="I296" s="121"/>
      <c r="J296" s="121"/>
      <c r="K296" s="121"/>
      <c r="L296" s="121">
        <v>121.8</v>
      </c>
      <c r="M296" s="121"/>
      <c r="N296" s="121"/>
      <c r="O296" s="121">
        <v>5.6595399999999998</v>
      </c>
      <c r="P296" s="122">
        <v>-2196.1</v>
      </c>
      <c r="Q296" s="122"/>
      <c r="R296" s="123">
        <f>1144.998+588.49117+449.39528+2077</f>
        <v>4259.8844499999996</v>
      </c>
      <c r="S296" s="123">
        <f>21.28107-100</f>
        <v>-78.71893</v>
      </c>
      <c r="T296" s="124">
        <v>63824.257740000001</v>
      </c>
    </row>
    <row r="297" spans="1:22">
      <c r="A297" s="214" t="s">
        <v>151</v>
      </c>
      <c r="B297" s="211" t="s">
        <v>134</v>
      </c>
      <c r="C297" s="211" t="s">
        <v>260</v>
      </c>
      <c r="D297" s="211" t="s">
        <v>135</v>
      </c>
      <c r="E297" s="211" t="s">
        <v>292</v>
      </c>
      <c r="F297" s="212" t="s">
        <v>152</v>
      </c>
      <c r="G297" s="117">
        <v>2556.3000000000002</v>
      </c>
      <c r="H297" s="121"/>
      <c r="I297" s="121"/>
      <c r="J297" s="121"/>
      <c r="K297" s="121"/>
      <c r="L297" s="121">
        <v>593.1</v>
      </c>
      <c r="M297" s="121"/>
      <c r="N297" s="121"/>
      <c r="O297" s="121"/>
      <c r="P297" s="122">
        <v>-4.0549999999999997</v>
      </c>
      <c r="Q297" s="122"/>
      <c r="R297" s="123"/>
      <c r="S297" s="123">
        <v>100</v>
      </c>
      <c r="T297" s="124">
        <v>2904.2579099999998</v>
      </c>
    </row>
    <row r="298" spans="1:22" s="6" customFormat="1">
      <c r="A298" s="208" t="s">
        <v>293</v>
      </c>
      <c r="B298" s="209" t="s">
        <v>134</v>
      </c>
      <c r="C298" s="209" t="s">
        <v>260</v>
      </c>
      <c r="D298" s="209" t="s">
        <v>135</v>
      </c>
      <c r="E298" s="209" t="s">
        <v>292</v>
      </c>
      <c r="F298" s="207"/>
      <c r="G298" s="113">
        <f t="shared" ref="G298:L298" si="74">G299</f>
        <v>263008.5</v>
      </c>
      <c r="H298" s="113">
        <f t="shared" si="74"/>
        <v>0</v>
      </c>
      <c r="I298" s="113">
        <f t="shared" si="74"/>
        <v>0</v>
      </c>
      <c r="J298" s="113">
        <f t="shared" si="74"/>
        <v>0</v>
      </c>
      <c r="K298" s="113">
        <f t="shared" si="74"/>
        <v>0</v>
      </c>
      <c r="L298" s="113">
        <f t="shared" si="74"/>
        <v>-180.3</v>
      </c>
      <c r="M298" s="113">
        <f>M299+M300</f>
        <v>0</v>
      </c>
      <c r="N298" s="113"/>
      <c r="O298" s="113">
        <f t="shared" ref="O298:T298" si="75">O299+O300</f>
        <v>-5.6595399999999927</v>
      </c>
      <c r="P298" s="114">
        <f t="shared" si="75"/>
        <v>3257.4670000000001</v>
      </c>
      <c r="Q298" s="114">
        <f t="shared" si="75"/>
        <v>0</v>
      </c>
      <c r="R298" s="115">
        <f t="shared" si="75"/>
        <v>24830.115549999999</v>
      </c>
      <c r="S298" s="115">
        <f t="shared" si="75"/>
        <v>-21.28107</v>
      </c>
      <c r="T298" s="116">
        <f t="shared" si="75"/>
        <v>290255.50003</v>
      </c>
    </row>
    <row r="299" spans="1:22" ht="33.75">
      <c r="A299" s="214" t="s">
        <v>178</v>
      </c>
      <c r="B299" s="211" t="s">
        <v>134</v>
      </c>
      <c r="C299" s="211" t="s">
        <v>260</v>
      </c>
      <c r="D299" s="211" t="s">
        <v>135</v>
      </c>
      <c r="E299" s="211" t="s">
        <v>292</v>
      </c>
      <c r="F299" s="212" t="s">
        <v>179</v>
      </c>
      <c r="G299" s="117">
        <v>263008.5</v>
      </c>
      <c r="H299" s="121"/>
      <c r="I299" s="121"/>
      <c r="J299" s="121"/>
      <c r="K299" s="121"/>
      <c r="L299" s="121">
        <v>-180.3</v>
      </c>
      <c r="M299" s="121"/>
      <c r="N299" s="121"/>
      <c r="O299" s="121">
        <v>-911.4</v>
      </c>
      <c r="P299" s="122">
        <f>-26.433+3283.9</f>
        <v>3257.4670000000001</v>
      </c>
      <c r="Q299" s="122"/>
      <c r="R299" s="123">
        <f>-28.4+2711+2106.90883</f>
        <v>4789.5088299999998</v>
      </c>
      <c r="S299" s="123">
        <f>-21.28107-941.71893</f>
        <v>-963</v>
      </c>
      <c r="T299" s="124">
        <v>269000.77583</v>
      </c>
    </row>
    <row r="300" spans="1:22" ht="33.75">
      <c r="A300" s="214" t="s">
        <v>178</v>
      </c>
      <c r="B300" s="211" t="s">
        <v>134</v>
      </c>
      <c r="C300" s="211" t="s">
        <v>260</v>
      </c>
      <c r="D300" s="211" t="s">
        <v>135</v>
      </c>
      <c r="E300" s="211" t="s">
        <v>456</v>
      </c>
      <c r="F300" s="212" t="s">
        <v>181</v>
      </c>
      <c r="G300" s="117"/>
      <c r="H300" s="121"/>
      <c r="I300" s="121"/>
      <c r="J300" s="121"/>
      <c r="K300" s="121"/>
      <c r="L300" s="121"/>
      <c r="M300" s="121"/>
      <c r="N300" s="121"/>
      <c r="O300" s="121">
        <v>905.74045999999998</v>
      </c>
      <c r="P300" s="122"/>
      <c r="Q300" s="122"/>
      <c r="R300" s="123">
        <f>10412.002+950.60472+8678</f>
        <v>20040.60672</v>
      </c>
      <c r="S300" s="123">
        <f>941.71893</f>
        <v>941.71893</v>
      </c>
      <c r="T300" s="124">
        <v>21254.724200000001</v>
      </c>
    </row>
    <row r="301" spans="1:22" s="6" customFormat="1" ht="22.5">
      <c r="A301" s="221" t="s">
        <v>270</v>
      </c>
      <c r="B301" s="209" t="s">
        <v>134</v>
      </c>
      <c r="C301" s="209" t="s">
        <v>260</v>
      </c>
      <c r="D301" s="209" t="s">
        <v>135</v>
      </c>
      <c r="E301" s="209" t="s">
        <v>294</v>
      </c>
      <c r="F301" s="207"/>
      <c r="G301" s="113">
        <f t="shared" ref="G301:T301" si="76">G302+G303</f>
        <v>0</v>
      </c>
      <c r="H301" s="113">
        <f t="shared" si="76"/>
        <v>15087.914639999999</v>
      </c>
      <c r="I301" s="113">
        <f t="shared" si="76"/>
        <v>0</v>
      </c>
      <c r="J301" s="113">
        <f t="shared" si="76"/>
        <v>57.761429999999997</v>
      </c>
      <c r="K301" s="113">
        <f t="shared" si="76"/>
        <v>0</v>
      </c>
      <c r="L301" s="113">
        <f t="shared" si="76"/>
        <v>0</v>
      </c>
      <c r="M301" s="113">
        <f t="shared" si="76"/>
        <v>0</v>
      </c>
      <c r="N301" s="113"/>
      <c r="O301" s="113">
        <f>O302+O303</f>
        <v>0</v>
      </c>
      <c r="P301" s="114">
        <f>P302+P303</f>
        <v>0</v>
      </c>
      <c r="Q301" s="114">
        <f>Q302+Q303</f>
        <v>0</v>
      </c>
      <c r="R301" s="113">
        <f>R302+R303</f>
        <v>0</v>
      </c>
      <c r="S301" s="115"/>
      <c r="T301" s="116">
        <f t="shared" si="76"/>
        <v>14714.865150000001</v>
      </c>
    </row>
    <row r="302" spans="1:22">
      <c r="A302" s="214" t="s">
        <v>142</v>
      </c>
      <c r="B302" s="211" t="s">
        <v>134</v>
      </c>
      <c r="C302" s="211" t="s">
        <v>260</v>
      </c>
      <c r="D302" s="211" t="s">
        <v>135</v>
      </c>
      <c r="E302" s="211" t="s">
        <v>294</v>
      </c>
      <c r="F302" s="212" t="s">
        <v>235</v>
      </c>
      <c r="G302" s="117"/>
      <c r="H302" s="121">
        <v>4406.7573000000002</v>
      </c>
      <c r="I302" s="121"/>
      <c r="J302" s="121">
        <v>25.760809999999999</v>
      </c>
      <c r="K302" s="121"/>
      <c r="L302" s="121"/>
      <c r="M302" s="121">
        <f>-15.1659+9.99808</f>
        <v>-5.1678200000000007</v>
      </c>
      <c r="N302" s="121"/>
      <c r="O302" s="121"/>
      <c r="P302" s="122"/>
      <c r="Q302" s="122"/>
      <c r="R302" s="123"/>
      <c r="S302" s="123"/>
      <c r="T302" s="124">
        <v>4278.4444599999997</v>
      </c>
    </row>
    <row r="303" spans="1:22">
      <c r="A303" s="213" t="s">
        <v>180</v>
      </c>
      <c r="B303" s="211" t="s">
        <v>134</v>
      </c>
      <c r="C303" s="211" t="s">
        <v>260</v>
      </c>
      <c r="D303" s="211" t="s">
        <v>135</v>
      </c>
      <c r="E303" s="211" t="s">
        <v>294</v>
      </c>
      <c r="F303" s="212" t="s">
        <v>181</v>
      </c>
      <c r="G303" s="117"/>
      <c r="H303" s="121">
        <v>10681.15734</v>
      </c>
      <c r="I303" s="121"/>
      <c r="J303" s="121">
        <v>32.000619999999998</v>
      </c>
      <c r="K303" s="121"/>
      <c r="L303" s="121"/>
      <c r="M303" s="121">
        <v>5.1678199999999999</v>
      </c>
      <c r="N303" s="121"/>
      <c r="O303" s="121"/>
      <c r="P303" s="122"/>
      <c r="Q303" s="122"/>
      <c r="R303" s="123"/>
      <c r="S303" s="123"/>
      <c r="T303" s="124">
        <v>10436.420690000001</v>
      </c>
    </row>
    <row r="304" spans="1:22" s="7" customFormat="1" ht="22.5">
      <c r="A304" s="206" t="s">
        <v>295</v>
      </c>
      <c r="B304" s="209" t="s">
        <v>134</v>
      </c>
      <c r="C304" s="209" t="s">
        <v>260</v>
      </c>
      <c r="D304" s="209" t="s">
        <v>135</v>
      </c>
      <c r="E304" s="209" t="s">
        <v>296</v>
      </c>
      <c r="F304" s="207"/>
      <c r="G304" s="113">
        <f>G308+G305+G306+G309+G310+G307</f>
        <v>110106</v>
      </c>
      <c r="H304" s="113">
        <f t="shared" ref="H304:P304" si="77">H308+H305+H306+H309+H310+H307</f>
        <v>0</v>
      </c>
      <c r="I304" s="113">
        <f t="shared" si="77"/>
        <v>0</v>
      </c>
      <c r="J304" s="113">
        <f t="shared" si="77"/>
        <v>129.73099999999999</v>
      </c>
      <c r="K304" s="113">
        <f t="shared" si="77"/>
        <v>0</v>
      </c>
      <c r="L304" s="113">
        <f t="shared" si="77"/>
        <v>-965.2</v>
      </c>
      <c r="M304" s="113">
        <f t="shared" si="77"/>
        <v>0</v>
      </c>
      <c r="N304" s="113">
        <f t="shared" si="77"/>
        <v>4971.6840000000002</v>
      </c>
      <c r="O304" s="113">
        <f t="shared" si="77"/>
        <v>0</v>
      </c>
      <c r="P304" s="114">
        <f t="shared" si="77"/>
        <v>1929.1</v>
      </c>
      <c r="Q304" s="114">
        <f>Q308+Q305+Q306+Q309+Q310+Q307</f>
        <v>0</v>
      </c>
      <c r="R304" s="113">
        <f>R308+R305+R306+R309+R310+R307</f>
        <v>1401</v>
      </c>
      <c r="S304" s="113">
        <f>S308+S305+S306+S309+S310+S307</f>
        <v>-8.8817841970012523E-14</v>
      </c>
      <c r="T304" s="116">
        <f>T308+T305+T306+T309+T310+T307</f>
        <v>115740.826</v>
      </c>
      <c r="V304" s="7" t="s">
        <v>297</v>
      </c>
    </row>
    <row r="305" spans="1:20">
      <c r="A305" s="213" t="s">
        <v>139</v>
      </c>
      <c r="B305" s="211" t="s">
        <v>134</v>
      </c>
      <c r="C305" s="211" t="s">
        <v>260</v>
      </c>
      <c r="D305" s="211" t="s">
        <v>135</v>
      </c>
      <c r="E305" s="211" t="s">
        <v>296</v>
      </c>
      <c r="F305" s="212" t="s">
        <v>185</v>
      </c>
      <c r="G305" s="117">
        <f>37279.7+11258.5</f>
        <v>48538.2</v>
      </c>
      <c r="H305" s="121"/>
      <c r="I305" s="121"/>
      <c r="J305" s="121">
        <v>129.73099999999999</v>
      </c>
      <c r="K305" s="121"/>
      <c r="L305" s="121"/>
      <c r="M305" s="121"/>
      <c r="N305" s="121"/>
      <c r="O305" s="121"/>
      <c r="P305" s="122">
        <v>1979.1</v>
      </c>
      <c r="Q305" s="122"/>
      <c r="R305" s="123">
        <v>1401</v>
      </c>
      <c r="S305" s="123"/>
      <c r="T305" s="124">
        <v>52048.031000000003</v>
      </c>
    </row>
    <row r="306" spans="1:20">
      <c r="A306" s="214" t="s">
        <v>142</v>
      </c>
      <c r="B306" s="211" t="s">
        <v>134</v>
      </c>
      <c r="C306" s="211" t="s">
        <v>260</v>
      </c>
      <c r="D306" s="211" t="s">
        <v>135</v>
      </c>
      <c r="E306" s="211" t="s">
        <v>296</v>
      </c>
      <c r="F306" s="212" t="s">
        <v>235</v>
      </c>
      <c r="G306" s="117">
        <f>1265.555+76.8+1839.789+43.316</f>
        <v>3225.46</v>
      </c>
      <c r="H306" s="121"/>
      <c r="I306" s="121"/>
      <c r="J306" s="121"/>
      <c r="K306" s="121"/>
      <c r="L306" s="121"/>
      <c r="M306" s="121"/>
      <c r="N306" s="121"/>
      <c r="O306" s="121">
        <v>300</v>
      </c>
      <c r="P306" s="122"/>
      <c r="Q306" s="122">
        <f>100+20+135.4</f>
        <v>255.4</v>
      </c>
      <c r="R306" s="123"/>
      <c r="S306" s="123">
        <f>-47.8169-130</f>
        <v>-177.8169</v>
      </c>
      <c r="T306" s="124">
        <v>1775.2541000000001</v>
      </c>
    </row>
    <row r="307" spans="1:20" ht="22.5">
      <c r="A307" s="214" t="s">
        <v>149</v>
      </c>
      <c r="B307" s="211" t="s">
        <v>134</v>
      </c>
      <c r="C307" s="211" t="s">
        <v>260</v>
      </c>
      <c r="D307" s="211" t="s">
        <v>135</v>
      </c>
      <c r="E307" s="211" t="s">
        <v>296</v>
      </c>
      <c r="F307" s="212" t="s">
        <v>150</v>
      </c>
      <c r="G307" s="117">
        <v>171.72300000000001</v>
      </c>
      <c r="H307" s="121"/>
      <c r="I307" s="121"/>
      <c r="J307" s="121"/>
      <c r="K307" s="121"/>
      <c r="L307" s="121"/>
      <c r="M307" s="121"/>
      <c r="N307" s="121">
        <v>50</v>
      </c>
      <c r="O307" s="121"/>
      <c r="P307" s="122">
        <v>-50</v>
      </c>
      <c r="Q307" s="122">
        <v>100</v>
      </c>
      <c r="R307" s="123"/>
      <c r="S307" s="123">
        <v>24.195119999999999</v>
      </c>
      <c r="T307" s="124">
        <v>295.91811999999999</v>
      </c>
    </row>
    <row r="308" spans="1:20">
      <c r="A308" s="214" t="s">
        <v>151</v>
      </c>
      <c r="B308" s="211" t="s">
        <v>134</v>
      </c>
      <c r="C308" s="211" t="s">
        <v>260</v>
      </c>
      <c r="D308" s="211" t="s">
        <v>135</v>
      </c>
      <c r="E308" s="211" t="s">
        <v>296</v>
      </c>
      <c r="F308" s="212" t="s">
        <v>152</v>
      </c>
      <c r="G308" s="117">
        <v>56501.514999999999</v>
      </c>
      <c r="H308" s="121"/>
      <c r="I308" s="121"/>
      <c r="J308" s="121"/>
      <c r="K308" s="121"/>
      <c r="L308" s="121">
        <v>-965.2</v>
      </c>
      <c r="M308" s="121"/>
      <c r="N308" s="121">
        <v>4921.6840000000002</v>
      </c>
      <c r="O308" s="121">
        <v>-300</v>
      </c>
      <c r="P308" s="122"/>
      <c r="Q308" s="122">
        <f>-200-20-135.4</f>
        <v>-355.4</v>
      </c>
      <c r="R308" s="123"/>
      <c r="S308" s="123">
        <f>507.78493+140.2066+1.228</f>
        <v>649.21952999999996</v>
      </c>
      <c r="T308" s="124">
        <v>60448.11853</v>
      </c>
    </row>
    <row r="309" spans="1:20">
      <c r="A309" s="217" t="s">
        <v>155</v>
      </c>
      <c r="B309" s="211" t="s">
        <v>134</v>
      </c>
      <c r="C309" s="211" t="s">
        <v>260</v>
      </c>
      <c r="D309" s="211" t="s">
        <v>135</v>
      </c>
      <c r="E309" s="211" t="s">
        <v>296</v>
      </c>
      <c r="F309" s="212" t="s">
        <v>156</v>
      </c>
      <c r="G309" s="117">
        <v>1646.9159999999999</v>
      </c>
      <c r="H309" s="121"/>
      <c r="I309" s="121"/>
      <c r="J309" s="121"/>
      <c r="K309" s="121"/>
      <c r="L309" s="121"/>
      <c r="M309" s="121"/>
      <c r="N309" s="121"/>
      <c r="O309" s="121"/>
      <c r="P309" s="122"/>
      <c r="Q309" s="122"/>
      <c r="R309" s="123"/>
      <c r="S309" s="123">
        <f>-102.574-400-1.228</f>
        <v>-503.80200000000002</v>
      </c>
      <c r="T309" s="124">
        <v>1143.114</v>
      </c>
    </row>
    <row r="310" spans="1:20">
      <c r="A310" s="217" t="s">
        <v>157</v>
      </c>
      <c r="B310" s="211" t="s">
        <v>134</v>
      </c>
      <c r="C310" s="211" t="s">
        <v>260</v>
      </c>
      <c r="D310" s="211" t="s">
        <v>135</v>
      </c>
      <c r="E310" s="211" t="s">
        <v>296</v>
      </c>
      <c r="F310" s="212" t="s">
        <v>158</v>
      </c>
      <c r="G310" s="117">
        <v>22.186</v>
      </c>
      <c r="H310" s="121"/>
      <c r="I310" s="121"/>
      <c r="J310" s="121"/>
      <c r="K310" s="121"/>
      <c r="L310" s="121"/>
      <c r="M310" s="121"/>
      <c r="N310" s="121"/>
      <c r="O310" s="121"/>
      <c r="P310" s="122"/>
      <c r="Q310" s="122"/>
      <c r="R310" s="123"/>
      <c r="S310" s="123">
        <f>10.1843-1.98005</f>
        <v>8.20425</v>
      </c>
      <c r="T310" s="124">
        <v>30.390250000000002</v>
      </c>
    </row>
    <row r="311" spans="1:20" ht="22.5">
      <c r="A311" s="226" t="s">
        <v>272</v>
      </c>
      <c r="B311" s="209" t="s">
        <v>134</v>
      </c>
      <c r="C311" s="209" t="s">
        <v>260</v>
      </c>
      <c r="D311" s="209" t="s">
        <v>135</v>
      </c>
      <c r="E311" s="209" t="s">
        <v>273</v>
      </c>
      <c r="F311" s="212"/>
      <c r="G311" s="117"/>
      <c r="H311" s="121"/>
      <c r="I311" s="121"/>
      <c r="J311" s="125">
        <f>J312+J313</f>
        <v>1885</v>
      </c>
      <c r="K311" s="125">
        <f>K312+K313</f>
        <v>0</v>
      </c>
      <c r="L311" s="125">
        <f>L312+L313</f>
        <v>0</v>
      </c>
      <c r="M311" s="125">
        <f>M312+M313</f>
        <v>0</v>
      </c>
      <c r="N311" s="125"/>
      <c r="O311" s="125"/>
      <c r="P311" s="126"/>
      <c r="Q311" s="126"/>
      <c r="R311" s="127"/>
      <c r="S311" s="127"/>
      <c r="T311" s="128">
        <f>T312+T313</f>
        <v>1804.0918000000001</v>
      </c>
    </row>
    <row r="312" spans="1:20">
      <c r="A312" s="214" t="s">
        <v>151</v>
      </c>
      <c r="B312" s="211" t="s">
        <v>134</v>
      </c>
      <c r="C312" s="211" t="s">
        <v>260</v>
      </c>
      <c r="D312" s="211" t="s">
        <v>135</v>
      </c>
      <c r="E312" s="211" t="s">
        <v>273</v>
      </c>
      <c r="F312" s="212" t="s">
        <v>152</v>
      </c>
      <c r="G312" s="117"/>
      <c r="H312" s="121"/>
      <c r="I312" s="121"/>
      <c r="J312" s="121">
        <v>100</v>
      </c>
      <c r="K312" s="121"/>
      <c r="L312" s="121"/>
      <c r="M312" s="121"/>
      <c r="N312" s="121"/>
      <c r="O312" s="121"/>
      <c r="P312" s="122"/>
      <c r="Q312" s="122"/>
      <c r="R312" s="123"/>
      <c r="S312" s="123"/>
      <c r="T312" s="124">
        <v>99.928569999999993</v>
      </c>
    </row>
    <row r="313" spans="1:20">
      <c r="A313" s="213" t="s">
        <v>180</v>
      </c>
      <c r="B313" s="211" t="s">
        <v>134</v>
      </c>
      <c r="C313" s="211" t="s">
        <v>260</v>
      </c>
      <c r="D313" s="211" t="s">
        <v>135</v>
      </c>
      <c r="E313" s="211" t="s">
        <v>273</v>
      </c>
      <c r="F313" s="212" t="s">
        <v>181</v>
      </c>
      <c r="G313" s="117"/>
      <c r="H313" s="121"/>
      <c r="I313" s="121"/>
      <c r="J313" s="121">
        <v>1785</v>
      </c>
      <c r="K313" s="121"/>
      <c r="L313" s="121"/>
      <c r="M313" s="121"/>
      <c r="N313" s="121"/>
      <c r="O313" s="121"/>
      <c r="P313" s="122"/>
      <c r="Q313" s="122"/>
      <c r="R313" s="123"/>
      <c r="S313" s="123"/>
      <c r="T313" s="124">
        <v>1704.1632300000001</v>
      </c>
    </row>
    <row r="314" spans="1:20">
      <c r="A314" s="219" t="s">
        <v>190</v>
      </c>
      <c r="B314" s="211" t="s">
        <v>134</v>
      </c>
      <c r="C314" s="211" t="s">
        <v>260</v>
      </c>
      <c r="D314" s="211" t="s">
        <v>135</v>
      </c>
      <c r="E314" s="211" t="s">
        <v>191</v>
      </c>
      <c r="F314" s="212"/>
      <c r="G314" s="117">
        <f>G321</f>
        <v>1000</v>
      </c>
      <c r="H314" s="117">
        <f>H321</f>
        <v>200</v>
      </c>
      <c r="I314" s="117">
        <f>I321</f>
        <v>0</v>
      </c>
      <c r="J314" s="117"/>
      <c r="K314" s="117">
        <f>K321</f>
        <v>-1200</v>
      </c>
      <c r="L314" s="117"/>
      <c r="M314" s="117"/>
      <c r="N314" s="117"/>
      <c r="O314" s="117"/>
      <c r="P314" s="118"/>
      <c r="Q314" s="118"/>
      <c r="R314" s="119"/>
      <c r="S314" s="119"/>
      <c r="T314" s="120">
        <f>T321</f>
        <v>0</v>
      </c>
    </row>
    <row r="315" spans="1:20" ht="22.5">
      <c r="A315" s="230" t="s">
        <v>274</v>
      </c>
      <c r="B315" s="209" t="s">
        <v>134</v>
      </c>
      <c r="C315" s="209" t="s">
        <v>260</v>
      </c>
      <c r="D315" s="209" t="s">
        <v>135</v>
      </c>
      <c r="E315" s="209" t="s">
        <v>275</v>
      </c>
      <c r="F315" s="212"/>
      <c r="G315" s="117"/>
      <c r="H315" s="117"/>
      <c r="I315" s="117"/>
      <c r="J315" s="113">
        <f>J316+J317</f>
        <v>500</v>
      </c>
      <c r="K315" s="113">
        <f>K316+K317</f>
        <v>0</v>
      </c>
      <c r="L315" s="113">
        <f>L316+L317</f>
        <v>0</v>
      </c>
      <c r="M315" s="113">
        <f>M316+M317</f>
        <v>0</v>
      </c>
      <c r="N315" s="113"/>
      <c r="O315" s="113"/>
      <c r="P315" s="114"/>
      <c r="Q315" s="114"/>
      <c r="R315" s="115"/>
      <c r="S315" s="115"/>
      <c r="T315" s="116">
        <f>T316+T317</f>
        <v>500</v>
      </c>
    </row>
    <row r="316" spans="1:20">
      <c r="A316" s="214" t="s">
        <v>151</v>
      </c>
      <c r="B316" s="211" t="s">
        <v>134</v>
      </c>
      <c r="C316" s="211" t="s">
        <v>260</v>
      </c>
      <c r="D316" s="211" t="s">
        <v>135</v>
      </c>
      <c r="E316" s="211" t="s">
        <v>275</v>
      </c>
      <c r="F316" s="212" t="s">
        <v>152</v>
      </c>
      <c r="G316" s="117"/>
      <c r="H316" s="117"/>
      <c r="I316" s="117"/>
      <c r="J316" s="117">
        <v>50</v>
      </c>
      <c r="K316" s="117"/>
      <c r="L316" s="117"/>
      <c r="M316" s="117"/>
      <c r="N316" s="117"/>
      <c r="O316" s="117"/>
      <c r="P316" s="118"/>
      <c r="Q316" s="118"/>
      <c r="R316" s="119"/>
      <c r="S316" s="119"/>
      <c r="T316" s="120">
        <v>50</v>
      </c>
    </row>
    <row r="317" spans="1:20">
      <c r="A317" s="213" t="s">
        <v>180</v>
      </c>
      <c r="B317" s="211" t="s">
        <v>134</v>
      </c>
      <c r="C317" s="211" t="s">
        <v>260</v>
      </c>
      <c r="D317" s="211" t="s">
        <v>135</v>
      </c>
      <c r="E317" s="211" t="s">
        <v>275</v>
      </c>
      <c r="F317" s="212" t="s">
        <v>181</v>
      </c>
      <c r="G317" s="117"/>
      <c r="H317" s="117"/>
      <c r="I317" s="117"/>
      <c r="J317" s="117">
        <v>450</v>
      </c>
      <c r="K317" s="117"/>
      <c r="L317" s="117"/>
      <c r="M317" s="117"/>
      <c r="N317" s="117"/>
      <c r="O317" s="117"/>
      <c r="P317" s="118"/>
      <c r="Q317" s="118"/>
      <c r="R317" s="119"/>
      <c r="S317" s="119"/>
      <c r="T317" s="120">
        <v>450</v>
      </c>
    </row>
    <row r="318" spans="1:20" ht="22.5">
      <c r="A318" s="230" t="s">
        <v>298</v>
      </c>
      <c r="B318" s="209" t="s">
        <v>134</v>
      </c>
      <c r="C318" s="209" t="s">
        <v>260</v>
      </c>
      <c r="D318" s="209" t="s">
        <v>135</v>
      </c>
      <c r="E318" s="209" t="s">
        <v>299</v>
      </c>
      <c r="F318" s="212"/>
      <c r="G318" s="117"/>
      <c r="H318" s="117"/>
      <c r="I318" s="117"/>
      <c r="J318" s="113">
        <f>J319+J320</f>
        <v>320</v>
      </c>
      <c r="K318" s="113">
        <f>K319+K320</f>
        <v>0</v>
      </c>
      <c r="L318" s="113">
        <f>L319+L320</f>
        <v>0</v>
      </c>
      <c r="M318" s="113">
        <f>M319+M320</f>
        <v>0</v>
      </c>
      <c r="N318" s="113"/>
      <c r="O318" s="113"/>
      <c r="P318" s="114"/>
      <c r="Q318" s="114"/>
      <c r="R318" s="115"/>
      <c r="S318" s="115"/>
      <c r="T318" s="116">
        <f>T319+T320</f>
        <v>319.99700000000001</v>
      </c>
    </row>
    <row r="319" spans="1:20">
      <c r="A319" s="214" t="s">
        <v>151</v>
      </c>
      <c r="B319" s="211" t="s">
        <v>134</v>
      </c>
      <c r="C319" s="211" t="s">
        <v>260</v>
      </c>
      <c r="D319" s="211" t="s">
        <v>135</v>
      </c>
      <c r="E319" s="211" t="s">
        <v>299</v>
      </c>
      <c r="F319" s="212" t="s">
        <v>152</v>
      </c>
      <c r="G319" s="117"/>
      <c r="H319" s="117"/>
      <c r="I319" s="117"/>
      <c r="J319" s="117">
        <v>50</v>
      </c>
      <c r="K319" s="117"/>
      <c r="L319" s="117"/>
      <c r="M319" s="117"/>
      <c r="N319" s="117"/>
      <c r="O319" s="117"/>
      <c r="P319" s="118"/>
      <c r="Q319" s="118"/>
      <c r="R319" s="119"/>
      <c r="S319" s="119"/>
      <c r="T319" s="120">
        <v>50</v>
      </c>
    </row>
    <row r="320" spans="1:20">
      <c r="A320" s="213" t="s">
        <v>180</v>
      </c>
      <c r="B320" s="211" t="s">
        <v>134</v>
      </c>
      <c r="C320" s="211" t="s">
        <v>260</v>
      </c>
      <c r="D320" s="211" t="s">
        <v>135</v>
      </c>
      <c r="E320" s="211" t="s">
        <v>299</v>
      </c>
      <c r="F320" s="212" t="s">
        <v>181</v>
      </c>
      <c r="G320" s="117"/>
      <c r="H320" s="117"/>
      <c r="I320" s="117"/>
      <c r="J320" s="117">
        <v>270</v>
      </c>
      <c r="K320" s="117"/>
      <c r="L320" s="117"/>
      <c r="M320" s="117"/>
      <c r="N320" s="117"/>
      <c r="O320" s="117"/>
      <c r="P320" s="118"/>
      <c r="Q320" s="118"/>
      <c r="R320" s="119"/>
      <c r="S320" s="119"/>
      <c r="T320" s="120">
        <v>269.99700000000001</v>
      </c>
    </row>
    <row r="321" spans="1:22" s="6" customFormat="1" ht="22.5">
      <c r="A321" s="221" t="s">
        <v>151</v>
      </c>
      <c r="B321" s="209" t="s">
        <v>134</v>
      </c>
      <c r="C321" s="209" t="s">
        <v>260</v>
      </c>
      <c r="D321" s="209" t="s">
        <v>135</v>
      </c>
      <c r="E321" s="209" t="s">
        <v>191</v>
      </c>
      <c r="F321" s="207" t="s">
        <v>152</v>
      </c>
      <c r="G321" s="113">
        <v>1000</v>
      </c>
      <c r="H321" s="125">
        <v>200</v>
      </c>
      <c r="I321" s="125"/>
      <c r="J321" s="125"/>
      <c r="K321" s="125">
        <v>-1200</v>
      </c>
      <c r="L321" s="125"/>
      <c r="M321" s="125"/>
      <c r="N321" s="125"/>
      <c r="O321" s="125"/>
      <c r="P321" s="126"/>
      <c r="Q321" s="126"/>
      <c r="R321" s="127"/>
      <c r="S321" s="127"/>
      <c r="T321" s="128">
        <f>G321+H321+I321+K321</f>
        <v>0</v>
      </c>
    </row>
    <row r="322" spans="1:22" ht="23.25" customHeight="1">
      <c r="A322" s="218" t="s">
        <v>555</v>
      </c>
      <c r="B322" s="209" t="s">
        <v>134</v>
      </c>
      <c r="C322" s="209" t="s">
        <v>260</v>
      </c>
      <c r="D322" s="209" t="s">
        <v>135</v>
      </c>
      <c r="E322" s="209" t="s">
        <v>549</v>
      </c>
      <c r="F322" s="207"/>
      <c r="G322" s="117"/>
      <c r="H322" s="121"/>
      <c r="I322" s="121"/>
      <c r="J322" s="121"/>
      <c r="K322" s="121"/>
      <c r="L322" s="121"/>
      <c r="M322" s="121"/>
      <c r="N322" s="121"/>
      <c r="O322" s="121"/>
      <c r="P322" s="126">
        <f>P324+P323</f>
        <v>4699.7790999999997</v>
      </c>
      <c r="Q322" s="126">
        <f>Q324+Q323</f>
        <v>0</v>
      </c>
      <c r="R322" s="125"/>
      <c r="S322" s="125"/>
      <c r="T322" s="126">
        <f>T324+T323</f>
        <v>4699.7790999999997</v>
      </c>
    </row>
    <row r="323" spans="1:22" ht="33.75">
      <c r="A323" s="217" t="s">
        <v>178</v>
      </c>
      <c r="B323" s="211" t="s">
        <v>134</v>
      </c>
      <c r="C323" s="211" t="s">
        <v>260</v>
      </c>
      <c r="D323" s="211" t="s">
        <v>135</v>
      </c>
      <c r="E323" s="211" t="s">
        <v>549</v>
      </c>
      <c r="F323" s="212" t="s">
        <v>179</v>
      </c>
      <c r="G323" s="117"/>
      <c r="H323" s="121"/>
      <c r="I323" s="121"/>
      <c r="J323" s="121"/>
      <c r="K323" s="121"/>
      <c r="L323" s="121"/>
      <c r="M323" s="121"/>
      <c r="N323" s="121"/>
      <c r="O323" s="121"/>
      <c r="P323" s="122">
        <v>4135.9270999999999</v>
      </c>
      <c r="Q323" s="122"/>
      <c r="R323" s="123"/>
      <c r="S323" s="123"/>
      <c r="T323" s="122">
        <v>4135.9270999999999</v>
      </c>
    </row>
    <row r="324" spans="1:22">
      <c r="A324" s="214" t="s">
        <v>155</v>
      </c>
      <c r="B324" s="211" t="s">
        <v>134</v>
      </c>
      <c r="C324" s="211" t="s">
        <v>260</v>
      </c>
      <c r="D324" s="211" t="s">
        <v>135</v>
      </c>
      <c r="E324" s="211" t="s">
        <v>549</v>
      </c>
      <c r="F324" s="212" t="s">
        <v>156</v>
      </c>
      <c r="G324" s="117"/>
      <c r="H324" s="121"/>
      <c r="I324" s="121"/>
      <c r="J324" s="121"/>
      <c r="K324" s="121"/>
      <c r="L324" s="121"/>
      <c r="M324" s="121"/>
      <c r="N324" s="121"/>
      <c r="O324" s="121"/>
      <c r="P324" s="122">
        <f>530.55+33.302</f>
        <v>563.85199999999998</v>
      </c>
      <c r="Q324" s="122"/>
      <c r="R324" s="123"/>
      <c r="S324" s="123"/>
      <c r="T324" s="122">
        <v>563.85199999999998</v>
      </c>
    </row>
    <row r="325" spans="1:22" s="6" customFormat="1" ht="55.5" customHeight="1">
      <c r="A325" s="215" t="s">
        <v>553</v>
      </c>
      <c r="B325" s="209" t="s">
        <v>134</v>
      </c>
      <c r="C325" s="209" t="s">
        <v>260</v>
      </c>
      <c r="D325" s="209" t="s">
        <v>135</v>
      </c>
      <c r="E325" s="209" t="s">
        <v>554</v>
      </c>
      <c r="F325" s="207"/>
      <c r="G325" s="113"/>
      <c r="H325" s="125"/>
      <c r="I325" s="125"/>
      <c r="J325" s="125"/>
      <c r="K325" s="125"/>
      <c r="L325" s="125"/>
      <c r="M325" s="125"/>
      <c r="N325" s="125"/>
      <c r="O325" s="125"/>
      <c r="P325" s="126"/>
      <c r="Q325" s="126"/>
      <c r="R325" s="127">
        <f>R326+R327</f>
        <v>1514.87</v>
      </c>
      <c r="S325" s="127"/>
      <c r="T325" s="126">
        <f>T326+T327</f>
        <v>1509.605</v>
      </c>
    </row>
    <row r="326" spans="1:22">
      <c r="A326" s="213" t="s">
        <v>139</v>
      </c>
      <c r="B326" s="211" t="s">
        <v>134</v>
      </c>
      <c r="C326" s="211" t="s">
        <v>260</v>
      </c>
      <c r="D326" s="211" t="s">
        <v>135</v>
      </c>
      <c r="E326" s="211" t="s">
        <v>554</v>
      </c>
      <c r="F326" s="212" t="s">
        <v>185</v>
      </c>
      <c r="G326" s="117"/>
      <c r="H326" s="121"/>
      <c r="I326" s="121"/>
      <c r="J326" s="121"/>
      <c r="K326" s="121"/>
      <c r="L326" s="121"/>
      <c r="M326" s="121"/>
      <c r="N326" s="121"/>
      <c r="O326" s="121"/>
      <c r="P326" s="122"/>
      <c r="Q326" s="122"/>
      <c r="R326" s="123">
        <v>776.53</v>
      </c>
      <c r="S326" s="123"/>
      <c r="T326" s="122">
        <v>771.26499999999999</v>
      </c>
    </row>
    <row r="327" spans="1:22">
      <c r="A327" s="213" t="s">
        <v>180</v>
      </c>
      <c r="B327" s="211" t="s">
        <v>134</v>
      </c>
      <c r="C327" s="211" t="s">
        <v>260</v>
      </c>
      <c r="D327" s="211" t="s">
        <v>135</v>
      </c>
      <c r="E327" s="211" t="s">
        <v>554</v>
      </c>
      <c r="F327" s="212" t="s">
        <v>181</v>
      </c>
      <c r="G327" s="117"/>
      <c r="H327" s="121"/>
      <c r="I327" s="121"/>
      <c r="J327" s="121"/>
      <c r="K327" s="121"/>
      <c r="L327" s="121"/>
      <c r="M327" s="121"/>
      <c r="N327" s="121"/>
      <c r="O327" s="121"/>
      <c r="P327" s="122"/>
      <c r="Q327" s="122"/>
      <c r="R327" s="123">
        <v>738.34</v>
      </c>
      <c r="S327" s="123"/>
      <c r="T327" s="122">
        <v>738.34</v>
      </c>
    </row>
    <row r="328" spans="1:22">
      <c r="A328" s="208" t="s">
        <v>300</v>
      </c>
      <c r="B328" s="209"/>
      <c r="C328" s="209" t="s">
        <v>260</v>
      </c>
      <c r="D328" s="209" t="s">
        <v>260</v>
      </c>
      <c r="E328" s="209"/>
      <c r="F328" s="207"/>
      <c r="G328" s="113">
        <f>G347+G332+G329+G351+G345+G343+G339+G335+G353</f>
        <v>11055.4</v>
      </c>
      <c r="H328" s="113">
        <f t="shared" ref="H328:Q328" si="78">H347+H332+H329+H351+H345+H343+H339+H335+H353</f>
        <v>1600</v>
      </c>
      <c r="I328" s="113">
        <f t="shared" si="78"/>
        <v>0</v>
      </c>
      <c r="J328" s="113">
        <f t="shared" si="78"/>
        <v>7201.7</v>
      </c>
      <c r="K328" s="113">
        <f t="shared" si="78"/>
        <v>0</v>
      </c>
      <c r="L328" s="113">
        <f t="shared" si="78"/>
        <v>50</v>
      </c>
      <c r="M328" s="113">
        <f t="shared" si="78"/>
        <v>4136.2</v>
      </c>
      <c r="N328" s="113">
        <f t="shared" si="78"/>
        <v>0</v>
      </c>
      <c r="O328" s="113">
        <f t="shared" si="78"/>
        <v>-281.32551999999998</v>
      </c>
      <c r="P328" s="114">
        <f t="shared" si="78"/>
        <v>326.34766000000002</v>
      </c>
      <c r="Q328" s="114">
        <f t="shared" si="78"/>
        <v>-26.347660000000001</v>
      </c>
      <c r="R328" s="113">
        <f>R347+R332+R329+R351+R345+R343+R339+R335+R353+R355</f>
        <v>76.665000000000006</v>
      </c>
      <c r="S328" s="113">
        <f>S347+S332+S329+S351+S345+S343+S339+S335+S353+S355</f>
        <v>-624.95438999999999</v>
      </c>
      <c r="T328" s="114">
        <f>T347+T332+T329+T351+T345+T343+T339+T335+T353+T355</f>
        <v>23119.463879999999</v>
      </c>
    </row>
    <row r="329" spans="1:22" s="6" customFormat="1">
      <c r="A329" s="222" t="s">
        <v>301</v>
      </c>
      <c r="B329" s="209" t="s">
        <v>134</v>
      </c>
      <c r="C329" s="209" t="s">
        <v>260</v>
      </c>
      <c r="D329" s="209" t="s">
        <v>260</v>
      </c>
      <c r="E329" s="209" t="s">
        <v>302</v>
      </c>
      <c r="F329" s="207"/>
      <c r="G329" s="113">
        <f>G330+G331</f>
        <v>1000</v>
      </c>
      <c r="H329" s="113">
        <f t="shared" ref="H329:T329" si="79">H330+H331</f>
        <v>0</v>
      </c>
      <c r="I329" s="113">
        <f t="shared" si="79"/>
        <v>0</v>
      </c>
      <c r="J329" s="113">
        <f t="shared" si="79"/>
        <v>0</v>
      </c>
      <c r="K329" s="113">
        <f t="shared" si="79"/>
        <v>0</v>
      </c>
      <c r="L329" s="113">
        <f t="shared" si="79"/>
        <v>0</v>
      </c>
      <c r="M329" s="113">
        <f t="shared" si="79"/>
        <v>3781</v>
      </c>
      <c r="N329" s="113"/>
      <c r="O329" s="113">
        <f>O330+O331</f>
        <v>73.873999999999995</v>
      </c>
      <c r="P329" s="114">
        <f>P330+P331</f>
        <v>0</v>
      </c>
      <c r="Q329" s="114">
        <f>Q330+Q331</f>
        <v>0</v>
      </c>
      <c r="R329" s="115"/>
      <c r="S329" s="115"/>
      <c r="T329" s="116">
        <f t="shared" si="79"/>
        <v>4819.40589</v>
      </c>
    </row>
    <row r="330" spans="1:22" s="11" customFormat="1">
      <c r="A330" s="214" t="s">
        <v>151</v>
      </c>
      <c r="B330" s="211" t="s">
        <v>134</v>
      </c>
      <c r="C330" s="211" t="s">
        <v>260</v>
      </c>
      <c r="D330" s="211" t="s">
        <v>260</v>
      </c>
      <c r="E330" s="211" t="s">
        <v>302</v>
      </c>
      <c r="F330" s="212" t="s">
        <v>152</v>
      </c>
      <c r="G330" s="117">
        <v>1000</v>
      </c>
      <c r="H330" s="121"/>
      <c r="I330" s="121"/>
      <c r="J330" s="121"/>
      <c r="K330" s="121"/>
      <c r="L330" s="121"/>
      <c r="M330" s="121">
        <f>-1000+892.08</f>
        <v>-107.91999999999996</v>
      </c>
      <c r="N330" s="121"/>
      <c r="O330" s="121">
        <v>73.873999999999995</v>
      </c>
      <c r="P330" s="122"/>
      <c r="Q330" s="122"/>
      <c r="R330" s="123"/>
      <c r="S330" s="123"/>
      <c r="T330" s="124">
        <v>930.48589000000004</v>
      </c>
    </row>
    <row r="331" spans="1:22" s="11" customFormat="1" ht="33.75">
      <c r="A331" s="217" t="s">
        <v>178</v>
      </c>
      <c r="B331" s="211" t="s">
        <v>134</v>
      </c>
      <c r="C331" s="211" t="s">
        <v>260</v>
      </c>
      <c r="D331" s="211" t="s">
        <v>260</v>
      </c>
      <c r="E331" s="211" t="s">
        <v>302</v>
      </c>
      <c r="F331" s="212" t="s">
        <v>179</v>
      </c>
      <c r="G331" s="117"/>
      <c r="H331" s="121"/>
      <c r="I331" s="121"/>
      <c r="J331" s="121"/>
      <c r="K331" s="121"/>
      <c r="L331" s="121"/>
      <c r="M331" s="121">
        <f>1000+2888.92</f>
        <v>3888.92</v>
      </c>
      <c r="N331" s="121"/>
      <c r="O331" s="121"/>
      <c r="P331" s="122"/>
      <c r="Q331" s="122"/>
      <c r="R331" s="123"/>
      <c r="S331" s="123"/>
      <c r="T331" s="124">
        <v>3888.92</v>
      </c>
    </row>
    <row r="332" spans="1:22" s="6" customFormat="1">
      <c r="A332" s="208" t="s">
        <v>597</v>
      </c>
      <c r="B332" s="209" t="s">
        <v>134</v>
      </c>
      <c r="C332" s="209" t="s">
        <v>260</v>
      </c>
      <c r="D332" s="209" t="s">
        <v>260</v>
      </c>
      <c r="E332" s="209" t="s">
        <v>303</v>
      </c>
      <c r="F332" s="207"/>
      <c r="G332" s="113">
        <f>G333+G334</f>
        <v>7405.4</v>
      </c>
      <c r="H332" s="113">
        <f t="shared" ref="H332:T332" si="80">H333+H334</f>
        <v>1600</v>
      </c>
      <c r="I332" s="113">
        <f t="shared" si="80"/>
        <v>0</v>
      </c>
      <c r="J332" s="113">
        <f t="shared" si="80"/>
        <v>113</v>
      </c>
      <c r="K332" s="113">
        <f t="shared" si="80"/>
        <v>0</v>
      </c>
      <c r="L332" s="113">
        <f t="shared" si="80"/>
        <v>0</v>
      </c>
      <c r="M332" s="113">
        <f t="shared" si="80"/>
        <v>355.2</v>
      </c>
      <c r="N332" s="113"/>
      <c r="O332" s="113">
        <f>O333+O334</f>
        <v>-355.19952000000001</v>
      </c>
      <c r="P332" s="114">
        <f>P333+P334</f>
        <v>0</v>
      </c>
      <c r="Q332" s="114">
        <f>Q333+Q334</f>
        <v>-26.347660000000001</v>
      </c>
      <c r="R332" s="113">
        <f>R333+R334</f>
        <v>0</v>
      </c>
      <c r="S332" s="113">
        <f>S333+S334</f>
        <v>-624.95438999999999</v>
      </c>
      <c r="T332" s="116">
        <f t="shared" si="80"/>
        <v>8376.2671200000004</v>
      </c>
    </row>
    <row r="333" spans="1:22" ht="33.75">
      <c r="A333" s="217" t="s">
        <v>178</v>
      </c>
      <c r="B333" s="211" t="s">
        <v>134</v>
      </c>
      <c r="C333" s="211" t="s">
        <v>260</v>
      </c>
      <c r="D333" s="211" t="s">
        <v>260</v>
      </c>
      <c r="E333" s="211" t="s">
        <v>303</v>
      </c>
      <c r="F333" s="212" t="s">
        <v>179</v>
      </c>
      <c r="G333" s="117">
        <v>3275.4</v>
      </c>
      <c r="H333" s="121"/>
      <c r="I333" s="121"/>
      <c r="J333" s="121"/>
      <c r="K333" s="121"/>
      <c r="L333" s="121"/>
      <c r="M333" s="121"/>
      <c r="N333" s="121"/>
      <c r="O333" s="121"/>
      <c r="P333" s="122"/>
      <c r="Q333" s="122">
        <v>-26.347660000000001</v>
      </c>
      <c r="R333" s="123"/>
      <c r="S333" s="123">
        <v>-628.98938999999996</v>
      </c>
      <c r="T333" s="124">
        <f>G333+H333+I333+J333+K333+M333+L333+N333+O333+P333+Q333+S333</f>
        <v>2620.0629500000005</v>
      </c>
      <c r="V333" s="8"/>
    </row>
    <row r="334" spans="1:22">
      <c r="A334" s="239" t="s">
        <v>180</v>
      </c>
      <c r="B334" s="211" t="s">
        <v>134</v>
      </c>
      <c r="C334" s="211" t="s">
        <v>260</v>
      </c>
      <c r="D334" s="211" t="s">
        <v>260</v>
      </c>
      <c r="E334" s="211" t="s">
        <v>303</v>
      </c>
      <c r="F334" s="212" t="s">
        <v>181</v>
      </c>
      <c r="G334" s="117">
        <v>4130</v>
      </c>
      <c r="H334" s="121">
        <f>1500+100</f>
        <v>1600</v>
      </c>
      <c r="I334" s="121"/>
      <c r="J334" s="121">
        <v>113</v>
      </c>
      <c r="K334" s="121"/>
      <c r="L334" s="121"/>
      <c r="M334" s="121">
        <f>355.2</f>
        <v>355.2</v>
      </c>
      <c r="N334" s="121"/>
      <c r="O334" s="121">
        <f>-159.86195-195.33757</f>
        <v>-355.19952000000001</v>
      </c>
      <c r="P334" s="122"/>
      <c r="Q334" s="122"/>
      <c r="R334" s="123"/>
      <c r="S334" s="123">
        <v>4.0350000000000001</v>
      </c>
      <c r="T334" s="124">
        <v>5756.20417</v>
      </c>
      <c r="V334" s="8"/>
    </row>
    <row r="335" spans="1:22" s="6" customFormat="1">
      <c r="A335" s="226" t="s">
        <v>304</v>
      </c>
      <c r="B335" s="209" t="s">
        <v>134</v>
      </c>
      <c r="C335" s="209" t="s">
        <v>260</v>
      </c>
      <c r="D335" s="209" t="s">
        <v>260</v>
      </c>
      <c r="E335" s="209" t="s">
        <v>305</v>
      </c>
      <c r="F335" s="207"/>
      <c r="G335" s="113">
        <f>G336+G338</f>
        <v>0</v>
      </c>
      <c r="H335" s="113">
        <f t="shared" ref="H335:M335" si="81">H336+H338</f>
        <v>0</v>
      </c>
      <c r="I335" s="113">
        <f t="shared" si="81"/>
        <v>0</v>
      </c>
      <c r="J335" s="113">
        <f t="shared" si="81"/>
        <v>6128.7</v>
      </c>
      <c r="K335" s="113">
        <f t="shared" si="81"/>
        <v>0</v>
      </c>
      <c r="L335" s="113">
        <f t="shared" si="81"/>
        <v>-2642.4</v>
      </c>
      <c r="M335" s="113">
        <f t="shared" si="81"/>
        <v>0</v>
      </c>
      <c r="N335" s="113"/>
      <c r="O335" s="113">
        <f>O336+O337+O338</f>
        <v>0</v>
      </c>
      <c r="P335" s="114"/>
      <c r="Q335" s="114"/>
      <c r="R335" s="115"/>
      <c r="S335" s="115"/>
      <c r="T335" s="116">
        <f>T336+T338+T337</f>
        <v>3486.2999999999993</v>
      </c>
    </row>
    <row r="336" spans="1:22">
      <c r="A336" s="214" t="s">
        <v>306</v>
      </c>
      <c r="B336" s="211" t="s">
        <v>134</v>
      </c>
      <c r="C336" s="211" t="s">
        <v>260</v>
      </c>
      <c r="D336" s="211" t="s">
        <v>260</v>
      </c>
      <c r="E336" s="211" t="s">
        <v>305</v>
      </c>
      <c r="F336" s="212" t="s">
        <v>307</v>
      </c>
      <c r="G336" s="117"/>
      <c r="H336" s="121"/>
      <c r="I336" s="121"/>
      <c r="J336" s="121">
        <v>6128.7</v>
      </c>
      <c r="K336" s="121"/>
      <c r="L336" s="121">
        <v>-2642.4</v>
      </c>
      <c r="M336" s="121">
        <f>-3486.3+291.06</f>
        <v>-3195.2400000000002</v>
      </c>
      <c r="N336" s="121"/>
      <c r="O336" s="121">
        <f>-142.065-69.3</f>
        <v>-211.36500000000001</v>
      </c>
      <c r="P336" s="122"/>
      <c r="Q336" s="122">
        <f>-51.975-27.72</f>
        <v>-79.694999999999993</v>
      </c>
      <c r="R336" s="123"/>
      <c r="S336" s="123"/>
      <c r="T336" s="124">
        <f>J336+L336+M336+O336+Q336</f>
        <v>-5.1159076974727213E-13</v>
      </c>
    </row>
    <row r="337" spans="1:20">
      <c r="A337" s="214" t="s">
        <v>151</v>
      </c>
      <c r="B337" s="211" t="s">
        <v>134</v>
      </c>
      <c r="C337" s="211" t="s">
        <v>260</v>
      </c>
      <c r="D337" s="211" t="s">
        <v>260</v>
      </c>
      <c r="E337" s="211" t="s">
        <v>305</v>
      </c>
      <c r="F337" s="212" t="s">
        <v>152</v>
      </c>
      <c r="G337" s="117"/>
      <c r="H337" s="121"/>
      <c r="I337" s="121"/>
      <c r="J337" s="121"/>
      <c r="K337" s="121"/>
      <c r="L337" s="121"/>
      <c r="M337" s="121"/>
      <c r="N337" s="121"/>
      <c r="O337" s="121">
        <f>69.3+142.065</f>
        <v>211.36500000000001</v>
      </c>
      <c r="P337" s="122"/>
      <c r="Q337" s="122">
        <f>51.975+27.72</f>
        <v>79.694999999999993</v>
      </c>
      <c r="R337" s="123"/>
      <c r="S337" s="123"/>
      <c r="T337" s="124">
        <v>291.06</v>
      </c>
    </row>
    <row r="338" spans="1:20" ht="33.75">
      <c r="A338" s="217" t="s">
        <v>178</v>
      </c>
      <c r="B338" s="211" t="s">
        <v>134</v>
      </c>
      <c r="C338" s="211" t="s">
        <v>260</v>
      </c>
      <c r="D338" s="211" t="s">
        <v>260</v>
      </c>
      <c r="E338" s="211" t="s">
        <v>305</v>
      </c>
      <c r="F338" s="212" t="s">
        <v>179</v>
      </c>
      <c r="G338" s="117"/>
      <c r="H338" s="121"/>
      <c r="I338" s="121"/>
      <c r="J338" s="121"/>
      <c r="K338" s="121"/>
      <c r="L338" s="121"/>
      <c r="M338" s="121">
        <v>3195.24</v>
      </c>
      <c r="N338" s="121"/>
      <c r="O338" s="121"/>
      <c r="P338" s="122"/>
      <c r="Q338" s="122"/>
      <c r="R338" s="123"/>
      <c r="S338" s="123"/>
      <c r="T338" s="124">
        <v>3195.24</v>
      </c>
    </row>
    <row r="339" spans="1:20" s="6" customFormat="1" ht="22.5">
      <c r="A339" s="226" t="s">
        <v>434</v>
      </c>
      <c r="B339" s="209" t="s">
        <v>134</v>
      </c>
      <c r="C339" s="209" t="s">
        <v>260</v>
      </c>
      <c r="D339" s="209" t="s">
        <v>260</v>
      </c>
      <c r="E339" s="209" t="s">
        <v>433</v>
      </c>
      <c r="F339" s="207"/>
      <c r="G339" s="113">
        <f t="shared" ref="G339:M339" si="82">G340+G342</f>
        <v>0</v>
      </c>
      <c r="H339" s="113">
        <f t="shared" si="82"/>
        <v>0</v>
      </c>
      <c r="I339" s="113">
        <f t="shared" si="82"/>
        <v>0</v>
      </c>
      <c r="J339" s="113">
        <f t="shared" si="82"/>
        <v>0</v>
      </c>
      <c r="K339" s="113">
        <f t="shared" si="82"/>
        <v>0</v>
      </c>
      <c r="L339" s="113">
        <f t="shared" si="82"/>
        <v>2642.4</v>
      </c>
      <c r="M339" s="113">
        <f t="shared" si="82"/>
        <v>0</v>
      </c>
      <c r="N339" s="113"/>
      <c r="O339" s="113">
        <f>O340+O341+O342</f>
        <v>0</v>
      </c>
      <c r="P339" s="114"/>
      <c r="Q339" s="114"/>
      <c r="R339" s="115"/>
      <c r="S339" s="115"/>
      <c r="T339" s="116">
        <f>T340+T342+T341</f>
        <v>2642.4</v>
      </c>
    </row>
    <row r="340" spans="1:20">
      <c r="A340" s="214" t="s">
        <v>306</v>
      </c>
      <c r="B340" s="211" t="s">
        <v>134</v>
      </c>
      <c r="C340" s="211" t="s">
        <v>260</v>
      </c>
      <c r="D340" s="211" t="s">
        <v>260</v>
      </c>
      <c r="E340" s="211" t="s">
        <v>433</v>
      </c>
      <c r="F340" s="212" t="s">
        <v>307</v>
      </c>
      <c r="G340" s="117"/>
      <c r="H340" s="121"/>
      <c r="I340" s="121"/>
      <c r="J340" s="121"/>
      <c r="K340" s="121"/>
      <c r="L340" s="121">
        <v>2642.4</v>
      </c>
      <c r="M340" s="121">
        <f>-2642.4+336.105</f>
        <v>-2306.2950000000001</v>
      </c>
      <c r="N340" s="121"/>
      <c r="O340" s="121">
        <f>-93.555-31.185-138.6</f>
        <v>-263.34000000000003</v>
      </c>
      <c r="P340" s="122"/>
      <c r="Q340" s="122">
        <f>-34.65-38.115</f>
        <v>-72.765000000000001</v>
      </c>
      <c r="R340" s="123"/>
      <c r="S340" s="123"/>
      <c r="T340" s="124">
        <f>L340+M340+O340+Q340</f>
        <v>0</v>
      </c>
    </row>
    <row r="341" spans="1:20">
      <c r="A341" s="214" t="s">
        <v>151</v>
      </c>
      <c r="B341" s="211" t="s">
        <v>134</v>
      </c>
      <c r="C341" s="211" t="s">
        <v>260</v>
      </c>
      <c r="D341" s="211" t="s">
        <v>260</v>
      </c>
      <c r="E341" s="211" t="s">
        <v>433</v>
      </c>
      <c r="F341" s="212" t="s">
        <v>152</v>
      </c>
      <c r="G341" s="117"/>
      <c r="H341" s="121"/>
      <c r="I341" s="121"/>
      <c r="J341" s="121"/>
      <c r="K341" s="121"/>
      <c r="L341" s="121"/>
      <c r="M341" s="121"/>
      <c r="N341" s="121"/>
      <c r="O341" s="121">
        <f>93.555+31.185+138.6</f>
        <v>263.34000000000003</v>
      </c>
      <c r="P341" s="122"/>
      <c r="Q341" s="122">
        <f>34.65+38.115</f>
        <v>72.765000000000001</v>
      </c>
      <c r="R341" s="123"/>
      <c r="S341" s="123"/>
      <c r="T341" s="124">
        <v>336.10500000000002</v>
      </c>
    </row>
    <row r="342" spans="1:20" ht="33.75">
      <c r="A342" s="217" t="s">
        <v>178</v>
      </c>
      <c r="B342" s="211" t="s">
        <v>134</v>
      </c>
      <c r="C342" s="211" t="s">
        <v>260</v>
      </c>
      <c r="D342" s="211" t="s">
        <v>260</v>
      </c>
      <c r="E342" s="211" t="s">
        <v>433</v>
      </c>
      <c r="F342" s="212" t="s">
        <v>179</v>
      </c>
      <c r="G342" s="117"/>
      <c r="H342" s="121"/>
      <c r="I342" s="121"/>
      <c r="J342" s="121"/>
      <c r="K342" s="121"/>
      <c r="L342" s="121"/>
      <c r="M342" s="121">
        <v>2306.2950000000001</v>
      </c>
      <c r="N342" s="121"/>
      <c r="O342" s="121"/>
      <c r="P342" s="122"/>
      <c r="Q342" s="122"/>
      <c r="R342" s="123"/>
      <c r="S342" s="123"/>
      <c r="T342" s="124">
        <f>L342+M342</f>
        <v>2306.2950000000001</v>
      </c>
    </row>
    <row r="343" spans="1:20" s="93" customFormat="1">
      <c r="A343" s="226" t="s">
        <v>308</v>
      </c>
      <c r="B343" s="207" t="s">
        <v>134</v>
      </c>
      <c r="C343" s="207" t="s">
        <v>260</v>
      </c>
      <c r="D343" s="207" t="s">
        <v>260</v>
      </c>
      <c r="E343" s="207" t="s">
        <v>309</v>
      </c>
      <c r="F343" s="207"/>
      <c r="G343" s="113"/>
      <c r="H343" s="125"/>
      <c r="I343" s="125"/>
      <c r="J343" s="125">
        <f>J344</f>
        <v>660</v>
      </c>
      <c r="K343" s="125">
        <f>K344</f>
        <v>0</v>
      </c>
      <c r="L343" s="125">
        <f>L344</f>
        <v>50</v>
      </c>
      <c r="M343" s="125">
        <f>M344</f>
        <v>0</v>
      </c>
      <c r="N343" s="125"/>
      <c r="O343" s="125"/>
      <c r="P343" s="126"/>
      <c r="Q343" s="126"/>
      <c r="R343" s="127"/>
      <c r="S343" s="127"/>
      <c r="T343" s="128">
        <f>T344</f>
        <v>710</v>
      </c>
    </row>
    <row r="344" spans="1:20" s="12" customFormat="1">
      <c r="A344" s="214" t="s">
        <v>151</v>
      </c>
      <c r="B344" s="212" t="s">
        <v>134</v>
      </c>
      <c r="C344" s="212" t="s">
        <v>260</v>
      </c>
      <c r="D344" s="212" t="s">
        <v>260</v>
      </c>
      <c r="E344" s="212" t="s">
        <v>309</v>
      </c>
      <c r="F344" s="212" t="s">
        <v>152</v>
      </c>
      <c r="G344" s="117"/>
      <c r="H344" s="121"/>
      <c r="I344" s="121"/>
      <c r="J344" s="121">
        <v>660</v>
      </c>
      <c r="K344" s="121"/>
      <c r="L344" s="121">
        <v>50</v>
      </c>
      <c r="M344" s="121"/>
      <c r="N344" s="121"/>
      <c r="O344" s="121"/>
      <c r="P344" s="122"/>
      <c r="Q344" s="122"/>
      <c r="R344" s="123"/>
      <c r="S344" s="123"/>
      <c r="T344" s="124">
        <v>710</v>
      </c>
    </row>
    <row r="345" spans="1:20" s="6" customFormat="1" ht="33.75">
      <c r="A345" s="244" t="s">
        <v>310</v>
      </c>
      <c r="B345" s="209" t="s">
        <v>134</v>
      </c>
      <c r="C345" s="209" t="s">
        <v>260</v>
      </c>
      <c r="D345" s="209" t="s">
        <v>260</v>
      </c>
      <c r="E345" s="209" t="s">
        <v>311</v>
      </c>
      <c r="F345" s="207"/>
      <c r="G345" s="113"/>
      <c r="H345" s="125"/>
      <c r="I345" s="125"/>
      <c r="J345" s="125">
        <f>J346</f>
        <v>300</v>
      </c>
      <c r="K345" s="125">
        <f>K346</f>
        <v>0</v>
      </c>
      <c r="L345" s="125"/>
      <c r="M345" s="125"/>
      <c r="N345" s="125"/>
      <c r="O345" s="125"/>
      <c r="P345" s="126">
        <f>P346</f>
        <v>300</v>
      </c>
      <c r="Q345" s="126"/>
      <c r="R345" s="127"/>
      <c r="S345" s="127"/>
      <c r="T345" s="128">
        <f>T346</f>
        <v>599.99734000000001</v>
      </c>
    </row>
    <row r="346" spans="1:20">
      <c r="A346" s="214" t="s">
        <v>151</v>
      </c>
      <c r="B346" s="211" t="s">
        <v>134</v>
      </c>
      <c r="C346" s="211" t="s">
        <v>260</v>
      </c>
      <c r="D346" s="211" t="s">
        <v>260</v>
      </c>
      <c r="E346" s="211" t="s">
        <v>311</v>
      </c>
      <c r="F346" s="212" t="s">
        <v>152</v>
      </c>
      <c r="G346" s="117"/>
      <c r="H346" s="121"/>
      <c r="I346" s="121"/>
      <c r="J346" s="121">
        <v>300</v>
      </c>
      <c r="K346" s="121"/>
      <c r="L346" s="121"/>
      <c r="M346" s="121"/>
      <c r="N346" s="121"/>
      <c r="O346" s="121"/>
      <c r="P346" s="122">
        <v>300</v>
      </c>
      <c r="Q346" s="122"/>
      <c r="R346" s="123"/>
      <c r="S346" s="123"/>
      <c r="T346" s="124">
        <v>599.99734000000001</v>
      </c>
    </row>
    <row r="347" spans="1:20" s="6" customFormat="1" ht="22.5">
      <c r="A347" s="208" t="s">
        <v>312</v>
      </c>
      <c r="B347" s="209" t="s">
        <v>134</v>
      </c>
      <c r="C347" s="209" t="s">
        <v>260</v>
      </c>
      <c r="D347" s="209" t="s">
        <v>260</v>
      </c>
      <c r="E347" s="209" t="s">
        <v>435</v>
      </c>
      <c r="F347" s="207"/>
      <c r="G347" s="113">
        <f t="shared" ref="G347:M347" si="83">G349</f>
        <v>2650</v>
      </c>
      <c r="H347" s="113">
        <f t="shared" si="83"/>
        <v>0</v>
      </c>
      <c r="I347" s="113">
        <f t="shared" si="83"/>
        <v>0</v>
      </c>
      <c r="J347" s="113">
        <f t="shared" si="83"/>
        <v>0</v>
      </c>
      <c r="K347" s="113">
        <f t="shared" si="83"/>
        <v>0</v>
      </c>
      <c r="L347" s="113">
        <f t="shared" si="83"/>
        <v>0</v>
      </c>
      <c r="M347" s="113">
        <f t="shared" si="83"/>
        <v>-1200</v>
      </c>
      <c r="N347" s="113"/>
      <c r="O347" s="113">
        <f>O348+O349</f>
        <v>0</v>
      </c>
      <c r="P347" s="114"/>
      <c r="Q347" s="114"/>
      <c r="R347" s="115"/>
      <c r="S347" s="115">
        <f>S348+S349+S350</f>
        <v>0</v>
      </c>
      <c r="T347" s="116">
        <f>T349+T348+T350</f>
        <v>1224.27739</v>
      </c>
    </row>
    <row r="348" spans="1:20">
      <c r="A348" s="214" t="s">
        <v>142</v>
      </c>
      <c r="B348" s="211" t="s">
        <v>134</v>
      </c>
      <c r="C348" s="211" t="s">
        <v>260</v>
      </c>
      <c r="D348" s="211" t="s">
        <v>260</v>
      </c>
      <c r="E348" s="211" t="s">
        <v>435</v>
      </c>
      <c r="F348" s="212" t="s">
        <v>143</v>
      </c>
      <c r="G348" s="117"/>
      <c r="H348" s="117"/>
      <c r="I348" s="117"/>
      <c r="J348" s="117"/>
      <c r="K348" s="117"/>
      <c r="L348" s="117"/>
      <c r="M348" s="117"/>
      <c r="N348" s="117"/>
      <c r="O348" s="117">
        <v>7</v>
      </c>
      <c r="P348" s="118"/>
      <c r="Q348" s="118"/>
      <c r="R348" s="119"/>
      <c r="S348" s="119"/>
      <c r="T348" s="120">
        <v>7</v>
      </c>
    </row>
    <row r="349" spans="1:20">
      <c r="A349" s="214" t="s">
        <v>151</v>
      </c>
      <c r="B349" s="211" t="s">
        <v>134</v>
      </c>
      <c r="C349" s="211" t="s">
        <v>260</v>
      </c>
      <c r="D349" s="211" t="s">
        <v>260</v>
      </c>
      <c r="E349" s="211" t="s">
        <v>435</v>
      </c>
      <c r="F349" s="212" t="s">
        <v>152</v>
      </c>
      <c r="G349" s="117">
        <f>1450+1200</f>
        <v>2650</v>
      </c>
      <c r="H349" s="121"/>
      <c r="I349" s="121"/>
      <c r="J349" s="121"/>
      <c r="K349" s="121"/>
      <c r="L349" s="121"/>
      <c r="M349" s="121">
        <v>-1200</v>
      </c>
      <c r="N349" s="121"/>
      <c r="O349" s="121">
        <v>-7</v>
      </c>
      <c r="P349" s="122"/>
      <c r="Q349" s="122"/>
      <c r="R349" s="123"/>
      <c r="S349" s="123">
        <v>-8</v>
      </c>
      <c r="T349" s="124">
        <v>1209.27739</v>
      </c>
    </row>
    <row r="350" spans="1:20">
      <c r="A350" s="217" t="s">
        <v>157</v>
      </c>
      <c r="B350" s="211" t="s">
        <v>134</v>
      </c>
      <c r="C350" s="211" t="s">
        <v>260</v>
      </c>
      <c r="D350" s="211" t="s">
        <v>260</v>
      </c>
      <c r="E350" s="211" t="s">
        <v>435</v>
      </c>
      <c r="F350" s="212" t="s">
        <v>158</v>
      </c>
      <c r="G350" s="117"/>
      <c r="H350" s="121"/>
      <c r="I350" s="121"/>
      <c r="J350" s="121"/>
      <c r="K350" s="121"/>
      <c r="L350" s="121"/>
      <c r="M350" s="121"/>
      <c r="N350" s="121"/>
      <c r="O350" s="121"/>
      <c r="P350" s="122"/>
      <c r="Q350" s="122"/>
      <c r="R350" s="123"/>
      <c r="S350" s="123">
        <v>8</v>
      </c>
      <c r="T350" s="124">
        <v>8</v>
      </c>
    </row>
    <row r="351" spans="1:20" s="6" customFormat="1" ht="22.5">
      <c r="A351" s="208" t="s">
        <v>598</v>
      </c>
      <c r="B351" s="209" t="s">
        <v>134</v>
      </c>
      <c r="C351" s="209" t="s">
        <v>260</v>
      </c>
      <c r="D351" s="209" t="s">
        <v>260</v>
      </c>
      <c r="E351" s="209" t="s">
        <v>444</v>
      </c>
      <c r="F351" s="207"/>
      <c r="G351" s="113"/>
      <c r="H351" s="125"/>
      <c r="I351" s="125"/>
      <c r="J351" s="125"/>
      <c r="K351" s="125"/>
      <c r="L351" s="125"/>
      <c r="M351" s="125">
        <f>M352</f>
        <v>1200</v>
      </c>
      <c r="N351" s="125"/>
      <c r="O351" s="125"/>
      <c r="P351" s="126"/>
      <c r="Q351" s="126"/>
      <c r="R351" s="127"/>
      <c r="S351" s="127"/>
      <c r="T351" s="128">
        <f>T352</f>
        <v>1157.80348</v>
      </c>
    </row>
    <row r="352" spans="1:20">
      <c r="A352" s="214" t="s">
        <v>151</v>
      </c>
      <c r="B352" s="211" t="s">
        <v>134</v>
      </c>
      <c r="C352" s="211" t="s">
        <v>260</v>
      </c>
      <c r="D352" s="211" t="s">
        <v>260</v>
      </c>
      <c r="E352" s="211" t="s">
        <v>444</v>
      </c>
      <c r="F352" s="212" t="s">
        <v>152</v>
      </c>
      <c r="G352" s="117"/>
      <c r="H352" s="121"/>
      <c r="I352" s="121"/>
      <c r="J352" s="121"/>
      <c r="K352" s="121"/>
      <c r="L352" s="121"/>
      <c r="M352" s="121">
        <v>1200</v>
      </c>
      <c r="N352" s="121"/>
      <c r="O352" s="121"/>
      <c r="P352" s="122"/>
      <c r="Q352" s="122"/>
      <c r="R352" s="123"/>
      <c r="S352" s="123"/>
      <c r="T352" s="124">
        <v>1157.80348</v>
      </c>
    </row>
    <row r="353" spans="1:21" ht="22.5" customHeight="1">
      <c r="A353" s="218" t="s">
        <v>555</v>
      </c>
      <c r="B353" s="209" t="s">
        <v>134</v>
      </c>
      <c r="C353" s="209" t="s">
        <v>260</v>
      </c>
      <c r="D353" s="209" t="s">
        <v>260</v>
      </c>
      <c r="E353" s="209" t="s">
        <v>549</v>
      </c>
      <c r="F353" s="212"/>
      <c r="G353" s="117"/>
      <c r="H353" s="121"/>
      <c r="I353" s="121"/>
      <c r="J353" s="121"/>
      <c r="K353" s="121"/>
      <c r="L353" s="121"/>
      <c r="M353" s="121"/>
      <c r="N353" s="121"/>
      <c r="O353" s="121"/>
      <c r="P353" s="126">
        <f>P354</f>
        <v>26.347660000000001</v>
      </c>
      <c r="Q353" s="126">
        <f>Q354</f>
        <v>0</v>
      </c>
      <c r="R353" s="125"/>
      <c r="S353" s="125"/>
      <c r="T353" s="126">
        <f>T354</f>
        <v>26.347660000000001</v>
      </c>
    </row>
    <row r="354" spans="1:21" ht="33.75">
      <c r="A354" s="217" t="s">
        <v>178</v>
      </c>
      <c r="B354" s="211" t="s">
        <v>134</v>
      </c>
      <c r="C354" s="211" t="s">
        <v>260</v>
      </c>
      <c r="D354" s="211" t="s">
        <v>260</v>
      </c>
      <c r="E354" s="211" t="s">
        <v>549</v>
      </c>
      <c r="F354" s="212" t="s">
        <v>179</v>
      </c>
      <c r="G354" s="117"/>
      <c r="H354" s="121"/>
      <c r="I354" s="121"/>
      <c r="J354" s="121"/>
      <c r="K354" s="121"/>
      <c r="L354" s="121"/>
      <c r="M354" s="121"/>
      <c r="N354" s="121"/>
      <c r="O354" s="121"/>
      <c r="P354" s="122">
        <v>26.347660000000001</v>
      </c>
      <c r="Q354" s="122"/>
      <c r="R354" s="123"/>
      <c r="S354" s="123"/>
      <c r="T354" s="122">
        <v>26.347660000000001</v>
      </c>
    </row>
    <row r="355" spans="1:21" s="6" customFormat="1" ht="54.75" customHeight="1">
      <c r="A355" s="215" t="s">
        <v>553</v>
      </c>
      <c r="B355" s="209" t="s">
        <v>134</v>
      </c>
      <c r="C355" s="209" t="s">
        <v>260</v>
      </c>
      <c r="D355" s="209" t="s">
        <v>260</v>
      </c>
      <c r="E355" s="209" t="s">
        <v>554</v>
      </c>
      <c r="F355" s="207"/>
      <c r="G355" s="113"/>
      <c r="H355" s="125"/>
      <c r="I355" s="125"/>
      <c r="J355" s="125"/>
      <c r="K355" s="125"/>
      <c r="L355" s="125"/>
      <c r="M355" s="125"/>
      <c r="N355" s="125"/>
      <c r="O355" s="125"/>
      <c r="P355" s="126"/>
      <c r="Q355" s="126"/>
      <c r="R355" s="127">
        <f>R356</f>
        <v>76.665000000000006</v>
      </c>
      <c r="S355" s="127"/>
      <c r="T355" s="126">
        <f>T356</f>
        <v>76.665000000000006</v>
      </c>
    </row>
    <row r="356" spans="1:21">
      <c r="A356" s="239" t="s">
        <v>180</v>
      </c>
      <c r="B356" s="211" t="s">
        <v>134</v>
      </c>
      <c r="C356" s="211" t="s">
        <v>260</v>
      </c>
      <c r="D356" s="211" t="s">
        <v>260</v>
      </c>
      <c r="E356" s="211" t="s">
        <v>554</v>
      </c>
      <c r="F356" s="212" t="s">
        <v>181</v>
      </c>
      <c r="G356" s="117"/>
      <c r="H356" s="121"/>
      <c r="I356" s="121"/>
      <c r="J356" s="121"/>
      <c r="K356" s="121"/>
      <c r="L356" s="121"/>
      <c r="M356" s="121"/>
      <c r="N356" s="121"/>
      <c r="O356" s="121"/>
      <c r="P356" s="122"/>
      <c r="Q356" s="122"/>
      <c r="R356" s="123">
        <v>76.665000000000006</v>
      </c>
      <c r="S356" s="123"/>
      <c r="T356" s="122">
        <v>76.665000000000006</v>
      </c>
    </row>
    <row r="357" spans="1:21">
      <c r="A357" s="208" t="s">
        <v>313</v>
      </c>
      <c r="B357" s="209"/>
      <c r="C357" s="209" t="s">
        <v>260</v>
      </c>
      <c r="D357" s="209" t="s">
        <v>203</v>
      </c>
      <c r="E357" s="209"/>
      <c r="F357" s="207"/>
      <c r="G357" s="113">
        <f>G358+G368+G378+G376</f>
        <v>68124.2</v>
      </c>
      <c r="H357" s="113">
        <f t="shared" ref="H357:Q357" si="84">H358+H368+H378+H376</f>
        <v>63.4</v>
      </c>
      <c r="I357" s="113">
        <f t="shared" si="84"/>
        <v>-3750</v>
      </c>
      <c r="J357" s="113">
        <f t="shared" si="84"/>
        <v>0</v>
      </c>
      <c r="K357" s="113">
        <f t="shared" si="84"/>
        <v>1200</v>
      </c>
      <c r="L357" s="113">
        <f t="shared" si="84"/>
        <v>152.11283</v>
      </c>
      <c r="M357" s="113">
        <f t="shared" si="84"/>
        <v>0</v>
      </c>
      <c r="N357" s="113">
        <f t="shared" si="84"/>
        <v>0</v>
      </c>
      <c r="O357" s="113">
        <f t="shared" si="84"/>
        <v>-228.97399999999999</v>
      </c>
      <c r="P357" s="114">
        <f t="shared" si="84"/>
        <v>25.456</v>
      </c>
      <c r="Q357" s="114">
        <f t="shared" si="84"/>
        <v>-187.68676000000002</v>
      </c>
      <c r="R357" s="113">
        <f>R358+R368+R378+R376+R380</f>
        <v>1272.79</v>
      </c>
      <c r="S357" s="113">
        <f>S358+S368+S378+S376+S380</f>
        <v>66.009999999999948</v>
      </c>
      <c r="T357" s="114">
        <f>T358+T368+T378+T376+T380</f>
        <v>65585.167360000007</v>
      </c>
    </row>
    <row r="358" spans="1:21" s="6" customFormat="1" ht="22.5">
      <c r="A358" s="208" t="s">
        <v>314</v>
      </c>
      <c r="B358" s="209" t="s">
        <v>134</v>
      </c>
      <c r="C358" s="209" t="s">
        <v>260</v>
      </c>
      <c r="D358" s="209" t="s">
        <v>203</v>
      </c>
      <c r="E358" s="209" t="s">
        <v>315</v>
      </c>
      <c r="F358" s="207"/>
      <c r="G358" s="113">
        <f t="shared" ref="G358:T358" si="85">G359</f>
        <v>30453.999999999996</v>
      </c>
      <c r="H358" s="113">
        <f t="shared" si="85"/>
        <v>0</v>
      </c>
      <c r="I358" s="113">
        <f t="shared" si="85"/>
        <v>-3750</v>
      </c>
      <c r="J358" s="113">
        <f t="shared" si="85"/>
        <v>0</v>
      </c>
      <c r="K358" s="113">
        <f t="shared" si="85"/>
        <v>0</v>
      </c>
      <c r="L358" s="113">
        <f t="shared" si="85"/>
        <v>0</v>
      </c>
      <c r="M358" s="113">
        <f t="shared" si="85"/>
        <v>0</v>
      </c>
      <c r="N358" s="113"/>
      <c r="O358" s="113">
        <f>O361+O362+O363+O365</f>
        <v>-454.17399999999998</v>
      </c>
      <c r="P358" s="114">
        <f>P361+P362+P363+P365</f>
        <v>0</v>
      </c>
      <c r="Q358" s="114">
        <f>Q361+Q362+Q363+Q365</f>
        <v>-156.69456000000002</v>
      </c>
      <c r="R358" s="113">
        <f>R361+R362+R363+R365</f>
        <v>0</v>
      </c>
      <c r="S358" s="113">
        <f>S361+S362+S363+S365+S360+S364</f>
        <v>27.784999999999989</v>
      </c>
      <c r="T358" s="116">
        <f t="shared" si="85"/>
        <v>25450.779130000003</v>
      </c>
    </row>
    <row r="359" spans="1:21">
      <c r="A359" s="210" t="s">
        <v>176</v>
      </c>
      <c r="B359" s="211" t="s">
        <v>134</v>
      </c>
      <c r="C359" s="211" t="s">
        <v>260</v>
      </c>
      <c r="D359" s="211" t="s">
        <v>203</v>
      </c>
      <c r="E359" s="211" t="s">
        <v>316</v>
      </c>
      <c r="F359" s="212"/>
      <c r="G359" s="117">
        <f t="shared" ref="G359:M359" si="86">G365+G363+G361+G360+G362</f>
        <v>30453.999999999996</v>
      </c>
      <c r="H359" s="117">
        <f t="shared" si="86"/>
        <v>0</v>
      </c>
      <c r="I359" s="117">
        <f t="shared" si="86"/>
        <v>-3750</v>
      </c>
      <c r="J359" s="117">
        <f t="shared" si="86"/>
        <v>0</v>
      </c>
      <c r="K359" s="117">
        <f t="shared" si="86"/>
        <v>0</v>
      </c>
      <c r="L359" s="117">
        <f t="shared" si="86"/>
        <v>0</v>
      </c>
      <c r="M359" s="117">
        <f t="shared" si="86"/>
        <v>0</v>
      </c>
      <c r="N359" s="117"/>
      <c r="O359" s="117">
        <f>O360+O361+O362+O363+O365</f>
        <v>-454.17399999999998</v>
      </c>
      <c r="P359" s="118">
        <f>P360+P361+P362+P363+P365</f>
        <v>0</v>
      </c>
      <c r="Q359" s="118">
        <f>Q360+Q361+Q362+Q363+Q365</f>
        <v>-156.69456000000002</v>
      </c>
      <c r="R359" s="117">
        <f>R360+R361+R362+R363+R365</f>
        <v>0</v>
      </c>
      <c r="S359" s="117">
        <f>S360+S361+S362+S363+S365+S364</f>
        <v>27.785000000000025</v>
      </c>
      <c r="T359" s="120">
        <f>T365+T363+T361+T360+T362+T364</f>
        <v>25450.779130000003</v>
      </c>
    </row>
    <row r="360" spans="1:21">
      <c r="A360" s="213" t="s">
        <v>139</v>
      </c>
      <c r="B360" s="211" t="s">
        <v>134</v>
      </c>
      <c r="C360" s="211" t="s">
        <v>260</v>
      </c>
      <c r="D360" s="211" t="s">
        <v>203</v>
      </c>
      <c r="E360" s="211" t="s">
        <v>316</v>
      </c>
      <c r="F360" s="212" t="s">
        <v>185</v>
      </c>
      <c r="G360" s="117">
        <f>15396.7+4649.8</f>
        <v>20046.5</v>
      </c>
      <c r="H360" s="121"/>
      <c r="I360" s="121"/>
      <c r="J360" s="121"/>
      <c r="K360" s="121">
        <v>-355.4</v>
      </c>
      <c r="L360" s="121"/>
      <c r="M360" s="121">
        <v>-553.20000000000005</v>
      </c>
      <c r="N360" s="121"/>
      <c r="O360" s="121"/>
      <c r="P360" s="122"/>
      <c r="Q360" s="122"/>
      <c r="R360" s="123"/>
      <c r="S360" s="123">
        <f>27.785+195.3</f>
        <v>223.08500000000001</v>
      </c>
      <c r="T360" s="124">
        <v>19127.741030000001</v>
      </c>
    </row>
    <row r="361" spans="1:21">
      <c r="A361" s="214" t="s">
        <v>142</v>
      </c>
      <c r="B361" s="211" t="s">
        <v>134</v>
      </c>
      <c r="C361" s="211" t="s">
        <v>260</v>
      </c>
      <c r="D361" s="211" t="s">
        <v>203</v>
      </c>
      <c r="E361" s="211" t="s">
        <v>316</v>
      </c>
      <c r="F361" s="212" t="s">
        <v>235</v>
      </c>
      <c r="G361" s="117">
        <v>786.4</v>
      </c>
      <c r="H361" s="121"/>
      <c r="I361" s="121"/>
      <c r="J361" s="121"/>
      <c r="K361" s="121"/>
      <c r="L361" s="121"/>
      <c r="M361" s="121">
        <v>12.25</v>
      </c>
      <c r="N361" s="121"/>
      <c r="O361" s="121">
        <v>21</v>
      </c>
      <c r="P361" s="122"/>
      <c r="Q361" s="122">
        <f>-100-19.56326</f>
        <v>-119.56326</v>
      </c>
      <c r="R361" s="123"/>
      <c r="S361" s="123">
        <f>-0.26-13.025-74.87-1.38-27.853</f>
        <v>-117.38800000000001</v>
      </c>
      <c r="T361" s="124">
        <v>451.39395000000002</v>
      </c>
      <c r="U361" s="8"/>
    </row>
    <row r="362" spans="1:21" ht="22.5">
      <c r="A362" s="214" t="s">
        <v>149</v>
      </c>
      <c r="B362" s="211" t="s">
        <v>134</v>
      </c>
      <c r="C362" s="211" t="s">
        <v>260</v>
      </c>
      <c r="D362" s="211" t="s">
        <v>203</v>
      </c>
      <c r="E362" s="211" t="s">
        <v>316</v>
      </c>
      <c r="F362" s="212" t="s">
        <v>150</v>
      </c>
      <c r="G362" s="117">
        <v>260.3</v>
      </c>
      <c r="H362" s="121"/>
      <c r="I362" s="121"/>
      <c r="J362" s="121"/>
      <c r="K362" s="121"/>
      <c r="L362" s="121"/>
      <c r="M362" s="121"/>
      <c r="N362" s="121"/>
      <c r="O362" s="121"/>
      <c r="P362" s="122"/>
      <c r="Q362" s="122"/>
      <c r="R362" s="123"/>
      <c r="S362" s="123">
        <f>1.1913+23.87+1.38+27.853</f>
        <v>54.294300000000007</v>
      </c>
      <c r="T362" s="124">
        <v>314.59429999999998</v>
      </c>
    </row>
    <row r="363" spans="1:21">
      <c r="A363" s="214" t="s">
        <v>151</v>
      </c>
      <c r="B363" s="211" t="s">
        <v>134</v>
      </c>
      <c r="C363" s="211" t="s">
        <v>260</v>
      </c>
      <c r="D363" s="211" t="s">
        <v>203</v>
      </c>
      <c r="E363" s="211" t="s">
        <v>316</v>
      </c>
      <c r="F363" s="212" t="s">
        <v>152</v>
      </c>
      <c r="G363" s="117">
        <f>3714.7-260.3+900+900+350+3750</f>
        <v>9354.4</v>
      </c>
      <c r="H363" s="121"/>
      <c r="I363" s="121">
        <v>-3750</v>
      </c>
      <c r="J363" s="121"/>
      <c r="K363" s="121">
        <f>-25+355.4</f>
        <v>330.4</v>
      </c>
      <c r="L363" s="121"/>
      <c r="M363" s="121">
        <v>-12.25</v>
      </c>
      <c r="N363" s="121"/>
      <c r="O363" s="121">
        <f>-210-21</f>
        <v>-231</v>
      </c>
      <c r="P363" s="122"/>
      <c r="Q363" s="122">
        <f>30+14.264+75+100+19.56326</f>
        <v>238.82726000000002</v>
      </c>
      <c r="R363" s="123"/>
      <c r="S363" s="123">
        <f>-0.9313+13.025+51-195.3</f>
        <v>-132.2063</v>
      </c>
      <c r="T363" s="124">
        <v>5513.8418499999998</v>
      </c>
    </row>
    <row r="364" spans="1:21">
      <c r="A364" s="217" t="s">
        <v>155</v>
      </c>
      <c r="B364" s="211" t="s">
        <v>134</v>
      </c>
      <c r="C364" s="211" t="s">
        <v>260</v>
      </c>
      <c r="D364" s="211" t="s">
        <v>203</v>
      </c>
      <c r="E364" s="211" t="s">
        <v>316</v>
      </c>
      <c r="F364" s="212" t="s">
        <v>156</v>
      </c>
      <c r="G364" s="117"/>
      <c r="H364" s="121"/>
      <c r="I364" s="121"/>
      <c r="J364" s="121"/>
      <c r="K364" s="121"/>
      <c r="L364" s="121"/>
      <c r="M364" s="121"/>
      <c r="N364" s="121"/>
      <c r="O364" s="121"/>
      <c r="P364" s="122"/>
      <c r="Q364" s="122"/>
      <c r="R364" s="123"/>
      <c r="S364" s="123">
        <v>34.857999999999997</v>
      </c>
      <c r="T364" s="124">
        <v>34.857999999999997</v>
      </c>
    </row>
    <row r="365" spans="1:21">
      <c r="A365" s="217" t="s">
        <v>157</v>
      </c>
      <c r="B365" s="211" t="s">
        <v>134</v>
      </c>
      <c r="C365" s="211" t="s">
        <v>260</v>
      </c>
      <c r="D365" s="211" t="s">
        <v>203</v>
      </c>
      <c r="E365" s="211" t="s">
        <v>316</v>
      </c>
      <c r="F365" s="212" t="s">
        <v>158</v>
      </c>
      <c r="G365" s="117">
        <v>6.4</v>
      </c>
      <c r="H365" s="121"/>
      <c r="I365" s="121"/>
      <c r="J365" s="121"/>
      <c r="K365" s="121">
        <v>25</v>
      </c>
      <c r="L365" s="121"/>
      <c r="M365" s="121">
        <v>553.20000000000005</v>
      </c>
      <c r="N365" s="121"/>
      <c r="O365" s="121">
        <f>-73.874-170.3</f>
        <v>-244.17400000000001</v>
      </c>
      <c r="P365" s="122"/>
      <c r="Q365" s="122">
        <f>-30-170.95856-75</f>
        <v>-275.95856000000003</v>
      </c>
      <c r="R365" s="123"/>
      <c r="S365" s="123">
        <v>-34.857999999999997</v>
      </c>
      <c r="T365" s="124">
        <v>8.35</v>
      </c>
    </row>
    <row r="366" spans="1:21">
      <c r="A366" s="242" t="s">
        <v>317</v>
      </c>
      <c r="B366" s="211" t="s">
        <v>134</v>
      </c>
      <c r="C366" s="211" t="s">
        <v>260</v>
      </c>
      <c r="D366" s="211" t="s">
        <v>203</v>
      </c>
      <c r="E366" s="211" t="s">
        <v>318</v>
      </c>
      <c r="F366" s="212"/>
      <c r="G366" s="117">
        <f>G367</f>
        <v>0</v>
      </c>
      <c r="H366" s="117">
        <f>H367</f>
        <v>0</v>
      </c>
      <c r="I366" s="117">
        <f>I367</f>
        <v>0</v>
      </c>
      <c r="J366" s="117"/>
      <c r="K366" s="117"/>
      <c r="L366" s="117"/>
      <c r="M366" s="117"/>
      <c r="N366" s="117"/>
      <c r="O366" s="117">
        <f>O367</f>
        <v>0</v>
      </c>
      <c r="P366" s="118"/>
      <c r="Q366" s="118"/>
      <c r="R366" s="119"/>
      <c r="S366" s="119"/>
      <c r="T366" s="120">
        <f>T367</f>
        <v>0</v>
      </c>
    </row>
    <row r="367" spans="1:21">
      <c r="A367" s="214" t="s">
        <v>151</v>
      </c>
      <c r="B367" s="211" t="s">
        <v>134</v>
      </c>
      <c r="C367" s="211" t="s">
        <v>260</v>
      </c>
      <c r="D367" s="211" t="s">
        <v>203</v>
      </c>
      <c r="E367" s="211" t="s">
        <v>318</v>
      </c>
      <c r="F367" s="212" t="s">
        <v>152</v>
      </c>
      <c r="G367" s="117"/>
      <c r="H367" s="121"/>
      <c r="I367" s="121"/>
      <c r="J367" s="121"/>
      <c r="K367" s="121"/>
      <c r="L367" s="121"/>
      <c r="M367" s="121"/>
      <c r="N367" s="121"/>
      <c r="O367" s="121"/>
      <c r="P367" s="122"/>
      <c r="Q367" s="122"/>
      <c r="R367" s="123"/>
      <c r="S367" s="123"/>
      <c r="T367" s="124">
        <f>S367</f>
        <v>0</v>
      </c>
    </row>
    <row r="368" spans="1:21" s="6" customFormat="1" ht="45">
      <c r="A368" s="208" t="s">
        <v>319</v>
      </c>
      <c r="B368" s="209" t="s">
        <v>134</v>
      </c>
      <c r="C368" s="209" t="s">
        <v>260</v>
      </c>
      <c r="D368" s="209" t="s">
        <v>203</v>
      </c>
      <c r="E368" s="209" t="s">
        <v>320</v>
      </c>
      <c r="F368" s="207"/>
      <c r="G368" s="113">
        <f t="shared" ref="G368:T368" si="87">G369</f>
        <v>37670.199999999997</v>
      </c>
      <c r="H368" s="113">
        <f t="shared" si="87"/>
        <v>63.4</v>
      </c>
      <c r="I368" s="113">
        <f t="shared" si="87"/>
        <v>0</v>
      </c>
      <c r="J368" s="113">
        <f t="shared" si="87"/>
        <v>0</v>
      </c>
      <c r="K368" s="113">
        <f t="shared" si="87"/>
        <v>0</v>
      </c>
      <c r="L368" s="113">
        <f t="shared" si="87"/>
        <v>152.11283</v>
      </c>
      <c r="M368" s="113">
        <f t="shared" si="87"/>
        <v>0</v>
      </c>
      <c r="N368" s="113"/>
      <c r="O368" s="113">
        <f>O369</f>
        <v>225.2</v>
      </c>
      <c r="P368" s="114">
        <f>P369</f>
        <v>5.7</v>
      </c>
      <c r="Q368" s="114">
        <f>Q369</f>
        <v>-30.992200000000004</v>
      </c>
      <c r="R368" s="113">
        <f>R369</f>
        <v>18.600000000000001</v>
      </c>
      <c r="S368" s="113">
        <f>S369</f>
        <v>38.224999999999959</v>
      </c>
      <c r="T368" s="116">
        <f t="shared" si="87"/>
        <v>37660.442230000001</v>
      </c>
    </row>
    <row r="369" spans="1:22">
      <c r="A369" s="210" t="s">
        <v>176</v>
      </c>
      <c r="B369" s="211" t="s">
        <v>134</v>
      </c>
      <c r="C369" s="211" t="s">
        <v>260</v>
      </c>
      <c r="D369" s="211" t="s">
        <v>203</v>
      </c>
      <c r="E369" s="211" t="s">
        <v>321</v>
      </c>
      <c r="F369" s="212"/>
      <c r="G369" s="117">
        <f t="shared" ref="G369:R369" si="88">G374+G373+G371+G370+G372+G375</f>
        <v>37670.199999999997</v>
      </c>
      <c r="H369" s="117">
        <f t="shared" si="88"/>
        <v>63.4</v>
      </c>
      <c r="I369" s="117">
        <f t="shared" si="88"/>
        <v>0</v>
      </c>
      <c r="J369" s="117">
        <f t="shared" si="88"/>
        <v>0</v>
      </c>
      <c r="K369" s="117">
        <f t="shared" si="88"/>
        <v>0</v>
      </c>
      <c r="L369" s="117">
        <f t="shared" si="88"/>
        <v>152.11283</v>
      </c>
      <c r="M369" s="117">
        <f t="shared" si="88"/>
        <v>0</v>
      </c>
      <c r="N369" s="117">
        <f t="shared" si="88"/>
        <v>0</v>
      </c>
      <c r="O369" s="117">
        <f t="shared" si="88"/>
        <v>225.2</v>
      </c>
      <c r="P369" s="118">
        <f t="shared" si="88"/>
        <v>5.7</v>
      </c>
      <c r="Q369" s="118">
        <f t="shared" si="88"/>
        <v>-30.992200000000004</v>
      </c>
      <c r="R369" s="117">
        <f t="shared" si="88"/>
        <v>18.600000000000001</v>
      </c>
      <c r="S369" s="117">
        <f>S374+S373+S371+S370+S372+S375</f>
        <v>38.224999999999959</v>
      </c>
      <c r="T369" s="120">
        <f>T374+T373+T371+T370+T372+T375</f>
        <v>37660.442230000001</v>
      </c>
    </row>
    <row r="370" spans="1:22">
      <c r="A370" s="213" t="s">
        <v>139</v>
      </c>
      <c r="B370" s="211" t="s">
        <v>134</v>
      </c>
      <c r="C370" s="211" t="s">
        <v>260</v>
      </c>
      <c r="D370" s="211" t="s">
        <v>203</v>
      </c>
      <c r="E370" s="211" t="s">
        <v>321</v>
      </c>
      <c r="F370" s="212" t="s">
        <v>185</v>
      </c>
      <c r="G370" s="117">
        <f>21174.6+6394.8</f>
        <v>27569.399999999998</v>
      </c>
      <c r="H370" s="121"/>
      <c r="I370" s="121"/>
      <c r="J370" s="121"/>
      <c r="K370" s="121"/>
      <c r="L370" s="121"/>
      <c r="M370" s="121"/>
      <c r="N370" s="121"/>
      <c r="O370" s="121"/>
      <c r="P370" s="122"/>
      <c r="Q370" s="122"/>
      <c r="R370" s="123"/>
      <c r="S370" s="123">
        <v>38.225000000000001</v>
      </c>
      <c r="T370" s="124">
        <v>27480.028699999999</v>
      </c>
    </row>
    <row r="371" spans="1:22">
      <c r="A371" s="214" t="s">
        <v>142</v>
      </c>
      <c r="B371" s="211" t="s">
        <v>134</v>
      </c>
      <c r="C371" s="211" t="s">
        <v>260</v>
      </c>
      <c r="D371" s="211" t="s">
        <v>203</v>
      </c>
      <c r="E371" s="211" t="s">
        <v>321</v>
      </c>
      <c r="F371" s="212" t="s">
        <v>235</v>
      </c>
      <c r="G371" s="117">
        <f>1399.5+16.6</f>
        <v>1416.1</v>
      </c>
      <c r="H371" s="121"/>
      <c r="I371" s="121"/>
      <c r="J371" s="121"/>
      <c r="K371" s="121"/>
      <c r="L371" s="121"/>
      <c r="M371" s="121">
        <f>-7.078</f>
        <v>-7.0780000000000003</v>
      </c>
      <c r="N371" s="121"/>
      <c r="O371" s="121"/>
      <c r="P371" s="122"/>
      <c r="Q371" s="122">
        <f>-4.4-111.2362</f>
        <v>-115.6362</v>
      </c>
      <c r="R371" s="123"/>
      <c r="S371" s="123">
        <f>-28.3-95-96-41.8524-2.7</f>
        <v>-263.85239999999999</v>
      </c>
      <c r="T371" s="124">
        <v>911.06330000000003</v>
      </c>
    </row>
    <row r="372" spans="1:22" ht="22.5">
      <c r="A372" s="214" t="s">
        <v>149</v>
      </c>
      <c r="B372" s="211" t="s">
        <v>134</v>
      </c>
      <c r="C372" s="211" t="s">
        <v>260</v>
      </c>
      <c r="D372" s="211" t="s">
        <v>203</v>
      </c>
      <c r="E372" s="211" t="s">
        <v>321</v>
      </c>
      <c r="F372" s="212" t="s">
        <v>150</v>
      </c>
      <c r="G372" s="117">
        <v>595.1</v>
      </c>
      <c r="H372" s="121"/>
      <c r="I372" s="121"/>
      <c r="J372" s="121"/>
      <c r="K372" s="121"/>
      <c r="L372" s="121"/>
      <c r="M372" s="121"/>
      <c r="N372" s="121"/>
      <c r="O372" s="121"/>
      <c r="P372" s="122"/>
      <c r="Q372" s="122"/>
      <c r="R372" s="123"/>
      <c r="S372" s="123">
        <f>28.3+69.984+67</f>
        <v>165.28399999999999</v>
      </c>
      <c r="T372" s="124">
        <v>701.05052000000001</v>
      </c>
    </row>
    <row r="373" spans="1:22">
      <c r="A373" s="214" t="s">
        <v>151</v>
      </c>
      <c r="B373" s="211" t="s">
        <v>134</v>
      </c>
      <c r="C373" s="211" t="s">
        <v>260</v>
      </c>
      <c r="D373" s="211" t="s">
        <v>203</v>
      </c>
      <c r="E373" s="211" t="s">
        <v>321</v>
      </c>
      <c r="F373" s="212" t="s">
        <v>152</v>
      </c>
      <c r="G373" s="117">
        <f>5035.5+3000</f>
        <v>8035.5</v>
      </c>
      <c r="H373" s="121">
        <v>63.4</v>
      </c>
      <c r="I373" s="121">
        <v>-0.1</v>
      </c>
      <c r="J373" s="121"/>
      <c r="K373" s="121">
        <v>-1.2</v>
      </c>
      <c r="L373" s="121">
        <v>152.11283</v>
      </c>
      <c r="M373" s="121">
        <f>-0.006-22.752-5.5-2+7.078</f>
        <v>-23.18</v>
      </c>
      <c r="N373" s="121"/>
      <c r="O373" s="121">
        <f>-9.744-0.1+100+125.2</f>
        <v>215.35599999999999</v>
      </c>
      <c r="P373" s="122">
        <v>5.7</v>
      </c>
      <c r="Q373" s="122">
        <v>100</v>
      </c>
      <c r="R373" s="123">
        <v>18.600000000000001</v>
      </c>
      <c r="S373" s="123">
        <f>-0.8-0.382+25.016-0.002+96+51.72641-64.3-45+44.955</f>
        <v>107.21340999999998</v>
      </c>
      <c r="T373" s="124">
        <v>8497.1405300000006</v>
      </c>
      <c r="V373" s="8"/>
    </row>
    <row r="374" spans="1:22">
      <c r="A374" s="217" t="s">
        <v>155</v>
      </c>
      <c r="B374" s="211" t="s">
        <v>134</v>
      </c>
      <c r="C374" s="211" t="s">
        <v>260</v>
      </c>
      <c r="D374" s="211" t="s">
        <v>203</v>
      </c>
      <c r="E374" s="211" t="s">
        <v>321</v>
      </c>
      <c r="F374" s="212" t="s">
        <v>156</v>
      </c>
      <c r="G374" s="117">
        <v>54.1</v>
      </c>
      <c r="H374" s="121"/>
      <c r="I374" s="121"/>
      <c r="J374" s="121"/>
      <c r="K374" s="121"/>
      <c r="L374" s="121"/>
      <c r="M374" s="121">
        <f>22.752+3.81</f>
        <v>26.561999999999998</v>
      </c>
      <c r="N374" s="121"/>
      <c r="O374" s="121">
        <f>9.744</f>
        <v>9.7439999999999998</v>
      </c>
      <c r="P374" s="122"/>
      <c r="Q374" s="122">
        <f>3.8-19.756</f>
        <v>-15.956</v>
      </c>
      <c r="R374" s="123"/>
      <c r="S374" s="123">
        <f>-9.497+0.045+0.002</f>
        <v>-9.4499999999999993</v>
      </c>
      <c r="T374" s="124">
        <v>64.814779999999999</v>
      </c>
      <c r="U374" s="8"/>
    </row>
    <row r="375" spans="1:22">
      <c r="A375" s="217" t="s">
        <v>157</v>
      </c>
      <c r="B375" s="211" t="s">
        <v>134</v>
      </c>
      <c r="C375" s="211" t="s">
        <v>260</v>
      </c>
      <c r="D375" s="211" t="s">
        <v>203</v>
      </c>
      <c r="E375" s="211" t="s">
        <v>321</v>
      </c>
      <c r="F375" s="212" t="s">
        <v>158</v>
      </c>
      <c r="G375" s="117"/>
      <c r="H375" s="121"/>
      <c r="I375" s="121">
        <v>0.1</v>
      </c>
      <c r="J375" s="121"/>
      <c r="K375" s="121">
        <v>1.2</v>
      </c>
      <c r="L375" s="121"/>
      <c r="M375" s="121">
        <f>0.006+1.69+2</f>
        <v>3.6959999999999997</v>
      </c>
      <c r="N375" s="121"/>
      <c r="O375" s="121">
        <v>0.1</v>
      </c>
      <c r="P375" s="122"/>
      <c r="Q375" s="122">
        <v>0.6</v>
      </c>
      <c r="R375" s="123"/>
      <c r="S375" s="123">
        <f>0.382+0.8-0.37701</f>
        <v>0.80498999999999987</v>
      </c>
      <c r="T375" s="124">
        <v>6.3444000000000003</v>
      </c>
    </row>
    <row r="376" spans="1:22" ht="22.5" customHeight="1">
      <c r="A376" s="218" t="s">
        <v>555</v>
      </c>
      <c r="B376" s="209" t="s">
        <v>134</v>
      </c>
      <c r="C376" s="209" t="s">
        <v>260</v>
      </c>
      <c r="D376" s="209" t="s">
        <v>203</v>
      </c>
      <c r="E376" s="209" t="s">
        <v>549</v>
      </c>
      <c r="F376" s="207"/>
      <c r="G376" s="117"/>
      <c r="H376" s="121"/>
      <c r="I376" s="121"/>
      <c r="J376" s="121"/>
      <c r="K376" s="121"/>
      <c r="L376" s="121"/>
      <c r="M376" s="121"/>
      <c r="N376" s="121"/>
      <c r="O376" s="121"/>
      <c r="P376" s="126">
        <f>P377</f>
        <v>19.756</v>
      </c>
      <c r="Q376" s="126">
        <f>Q377</f>
        <v>0</v>
      </c>
      <c r="R376" s="125"/>
      <c r="S376" s="125"/>
      <c r="T376" s="126">
        <f>T377</f>
        <v>19.756</v>
      </c>
    </row>
    <row r="377" spans="1:22">
      <c r="A377" s="214" t="s">
        <v>155</v>
      </c>
      <c r="B377" s="211" t="s">
        <v>134</v>
      </c>
      <c r="C377" s="211" t="s">
        <v>260</v>
      </c>
      <c r="D377" s="211" t="s">
        <v>203</v>
      </c>
      <c r="E377" s="211" t="s">
        <v>549</v>
      </c>
      <c r="F377" s="212" t="s">
        <v>156</v>
      </c>
      <c r="G377" s="117"/>
      <c r="H377" s="121"/>
      <c r="I377" s="121"/>
      <c r="J377" s="121"/>
      <c r="K377" s="121"/>
      <c r="L377" s="121"/>
      <c r="M377" s="121"/>
      <c r="N377" s="121"/>
      <c r="O377" s="121"/>
      <c r="P377" s="122">
        <v>19.756</v>
      </c>
      <c r="Q377" s="122"/>
      <c r="R377" s="123"/>
      <c r="S377" s="123"/>
      <c r="T377" s="124">
        <v>19.756</v>
      </c>
    </row>
    <row r="378" spans="1:22" s="6" customFormat="1">
      <c r="A378" s="208" t="s">
        <v>190</v>
      </c>
      <c r="B378" s="209" t="s">
        <v>134</v>
      </c>
      <c r="C378" s="209" t="s">
        <v>260</v>
      </c>
      <c r="D378" s="209" t="s">
        <v>203</v>
      </c>
      <c r="E378" s="209" t="s">
        <v>191</v>
      </c>
      <c r="F378" s="207"/>
      <c r="G378" s="117">
        <f>G379</f>
        <v>0</v>
      </c>
      <c r="H378" s="117">
        <f>H379</f>
        <v>0</v>
      </c>
      <c r="I378" s="117">
        <f>I379</f>
        <v>0</v>
      </c>
      <c r="J378" s="117"/>
      <c r="K378" s="117">
        <f>K379</f>
        <v>1200</v>
      </c>
      <c r="L378" s="117"/>
      <c r="M378" s="117"/>
      <c r="N378" s="117"/>
      <c r="O378" s="117"/>
      <c r="P378" s="118"/>
      <c r="Q378" s="118"/>
      <c r="R378" s="119"/>
      <c r="S378" s="119"/>
      <c r="T378" s="116">
        <f>T379</f>
        <v>1200</v>
      </c>
    </row>
    <row r="379" spans="1:22">
      <c r="A379" s="214" t="s">
        <v>151</v>
      </c>
      <c r="B379" s="211" t="s">
        <v>134</v>
      </c>
      <c r="C379" s="211" t="s">
        <v>260</v>
      </c>
      <c r="D379" s="211" t="s">
        <v>203</v>
      </c>
      <c r="E379" s="211" t="s">
        <v>191</v>
      </c>
      <c r="F379" s="212" t="s">
        <v>152</v>
      </c>
      <c r="G379" s="117"/>
      <c r="H379" s="121"/>
      <c r="I379" s="121"/>
      <c r="J379" s="121"/>
      <c r="K379" s="121">
        <v>1200</v>
      </c>
      <c r="L379" s="121"/>
      <c r="M379" s="121"/>
      <c r="N379" s="121"/>
      <c r="O379" s="121"/>
      <c r="P379" s="122"/>
      <c r="Q379" s="122"/>
      <c r="R379" s="123"/>
      <c r="S379" s="123"/>
      <c r="T379" s="124">
        <v>1200</v>
      </c>
    </row>
    <row r="380" spans="1:22" s="6" customFormat="1" ht="56.25">
      <c r="A380" s="215" t="s">
        <v>553</v>
      </c>
      <c r="B380" s="209" t="s">
        <v>134</v>
      </c>
      <c r="C380" s="209" t="s">
        <v>260</v>
      </c>
      <c r="D380" s="209" t="s">
        <v>203</v>
      </c>
      <c r="E380" s="209" t="s">
        <v>554</v>
      </c>
      <c r="F380" s="207"/>
      <c r="G380" s="113"/>
      <c r="H380" s="125"/>
      <c r="I380" s="125"/>
      <c r="J380" s="125"/>
      <c r="K380" s="125"/>
      <c r="L380" s="125"/>
      <c r="M380" s="125"/>
      <c r="N380" s="125"/>
      <c r="O380" s="125"/>
      <c r="P380" s="126"/>
      <c r="Q380" s="126"/>
      <c r="R380" s="127">
        <f>R381</f>
        <v>1254.19</v>
      </c>
      <c r="S380" s="127">
        <f>S381</f>
        <v>0</v>
      </c>
      <c r="T380" s="126">
        <f>T381</f>
        <v>1254.19</v>
      </c>
    </row>
    <row r="381" spans="1:22">
      <c r="A381" s="213" t="s">
        <v>139</v>
      </c>
      <c r="B381" s="211" t="s">
        <v>134</v>
      </c>
      <c r="C381" s="211" t="s">
        <v>260</v>
      </c>
      <c r="D381" s="211" t="s">
        <v>203</v>
      </c>
      <c r="E381" s="211" t="s">
        <v>554</v>
      </c>
      <c r="F381" s="212" t="s">
        <v>185</v>
      </c>
      <c r="G381" s="117"/>
      <c r="H381" s="121"/>
      <c r="I381" s="121"/>
      <c r="J381" s="121"/>
      <c r="K381" s="121"/>
      <c r="L381" s="121"/>
      <c r="M381" s="121"/>
      <c r="N381" s="121"/>
      <c r="O381" s="121"/>
      <c r="P381" s="122"/>
      <c r="Q381" s="122"/>
      <c r="R381" s="123">
        <v>1254.19</v>
      </c>
      <c r="S381" s="123"/>
      <c r="T381" s="122">
        <v>1254.19</v>
      </c>
    </row>
    <row r="382" spans="1:22">
      <c r="A382" s="208" t="s">
        <v>322</v>
      </c>
      <c r="B382" s="209"/>
      <c r="C382" s="209" t="s">
        <v>237</v>
      </c>
      <c r="D382" s="209"/>
      <c r="E382" s="209"/>
      <c r="F382" s="207"/>
      <c r="G382" s="113">
        <f t="shared" ref="G382:O382" si="89">G395+G386+G413+G406</f>
        <v>27113.213</v>
      </c>
      <c r="H382" s="113">
        <f t="shared" si="89"/>
        <v>4861.2460000000001</v>
      </c>
      <c r="I382" s="113">
        <f t="shared" si="89"/>
        <v>0</v>
      </c>
      <c r="J382" s="113">
        <f t="shared" si="89"/>
        <v>150</v>
      </c>
      <c r="K382" s="113">
        <f t="shared" si="89"/>
        <v>0</v>
      </c>
      <c r="L382" s="113">
        <f t="shared" si="89"/>
        <v>991.86</v>
      </c>
      <c r="M382" s="113">
        <f t="shared" si="89"/>
        <v>0</v>
      </c>
      <c r="N382" s="113">
        <f t="shared" si="89"/>
        <v>0</v>
      </c>
      <c r="O382" s="113">
        <f t="shared" si="89"/>
        <v>-370</v>
      </c>
      <c r="P382" s="114">
        <f>P395+P386+P413+P406+P403</f>
        <v>852.58150000000001</v>
      </c>
      <c r="Q382" s="114">
        <f>Q395+Q386+Q413+Q406</f>
        <v>571.05700000000002</v>
      </c>
      <c r="R382" s="113">
        <f>R395+R386+R413+R406+R384+R408+R411</f>
        <v>3306.13</v>
      </c>
      <c r="S382" s="113">
        <f>S395+S386+S413+S406+S384+S408+S411</f>
        <v>23.769999999999996</v>
      </c>
      <c r="T382" s="114">
        <f>T395+T386+T413+T406+T384+T411+T408+T403</f>
        <v>37004.082050000005</v>
      </c>
    </row>
    <row r="383" spans="1:22">
      <c r="A383" s="208" t="s">
        <v>617</v>
      </c>
      <c r="B383" s="209"/>
      <c r="C383" s="209" t="s">
        <v>237</v>
      </c>
      <c r="D383" s="209" t="s">
        <v>129</v>
      </c>
      <c r="E383" s="209"/>
      <c r="F383" s="207"/>
      <c r="G383" s="113"/>
      <c r="H383" s="113"/>
      <c r="I383" s="113"/>
      <c r="J383" s="113"/>
      <c r="K383" s="113"/>
      <c r="L383" s="113"/>
      <c r="M383" s="113"/>
      <c r="N383" s="113"/>
      <c r="O383" s="113"/>
      <c r="P383" s="114"/>
      <c r="Q383" s="114"/>
      <c r="R383" s="113"/>
      <c r="S383" s="115"/>
      <c r="T383" s="114">
        <f>T384+T386+T395+T403+T406+T411</f>
        <v>32108.036450000003</v>
      </c>
    </row>
    <row r="384" spans="1:22" ht="36" customHeight="1">
      <c r="A384" s="208" t="s">
        <v>599</v>
      </c>
      <c r="B384" s="211" t="s">
        <v>134</v>
      </c>
      <c r="C384" s="211" t="s">
        <v>237</v>
      </c>
      <c r="D384" s="211" t="s">
        <v>129</v>
      </c>
      <c r="E384" s="209" t="s">
        <v>600</v>
      </c>
      <c r="F384" s="207"/>
      <c r="G384" s="113"/>
      <c r="H384" s="113"/>
      <c r="I384" s="113"/>
      <c r="J384" s="113"/>
      <c r="K384" s="113"/>
      <c r="L384" s="113"/>
      <c r="M384" s="113"/>
      <c r="N384" s="113"/>
      <c r="O384" s="113"/>
      <c r="P384" s="114"/>
      <c r="Q384" s="114"/>
      <c r="R384" s="113">
        <f>R385</f>
        <v>165</v>
      </c>
      <c r="S384" s="115"/>
      <c r="T384" s="114">
        <f>T385</f>
        <v>165</v>
      </c>
    </row>
    <row r="385" spans="1:21" s="6" customFormat="1" ht="23.25" customHeight="1">
      <c r="A385" s="214" t="s">
        <v>255</v>
      </c>
      <c r="B385" s="211" t="s">
        <v>134</v>
      </c>
      <c r="C385" s="211" t="s">
        <v>237</v>
      </c>
      <c r="D385" s="211" t="s">
        <v>129</v>
      </c>
      <c r="E385" s="211" t="s">
        <v>600</v>
      </c>
      <c r="F385" s="212" t="s">
        <v>256</v>
      </c>
      <c r="G385" s="117"/>
      <c r="H385" s="117"/>
      <c r="I385" s="117"/>
      <c r="J385" s="117"/>
      <c r="K385" s="117"/>
      <c r="L385" s="117"/>
      <c r="M385" s="117"/>
      <c r="N385" s="117"/>
      <c r="O385" s="117"/>
      <c r="P385" s="118"/>
      <c r="Q385" s="118"/>
      <c r="R385" s="117">
        <v>165</v>
      </c>
      <c r="S385" s="119"/>
      <c r="T385" s="118">
        <v>165</v>
      </c>
    </row>
    <row r="386" spans="1:21" s="6" customFormat="1" ht="22.5">
      <c r="A386" s="208" t="s">
        <v>323</v>
      </c>
      <c r="B386" s="209" t="s">
        <v>134</v>
      </c>
      <c r="C386" s="209" t="s">
        <v>237</v>
      </c>
      <c r="D386" s="209" t="s">
        <v>129</v>
      </c>
      <c r="E386" s="209" t="s">
        <v>324</v>
      </c>
      <c r="F386" s="207"/>
      <c r="G386" s="113">
        <f t="shared" ref="G386:M386" si="90">G388</f>
        <v>16110.400000000001</v>
      </c>
      <c r="H386" s="113">
        <f t="shared" si="90"/>
        <v>1639.4659999999999</v>
      </c>
      <c r="I386" s="113">
        <f t="shared" si="90"/>
        <v>0</v>
      </c>
      <c r="J386" s="113">
        <f t="shared" si="90"/>
        <v>0</v>
      </c>
      <c r="K386" s="113">
        <f t="shared" si="90"/>
        <v>-167.46600000000001</v>
      </c>
      <c r="L386" s="113">
        <f t="shared" si="90"/>
        <v>400</v>
      </c>
      <c r="M386" s="113">
        <f t="shared" si="90"/>
        <v>0</v>
      </c>
      <c r="N386" s="113"/>
      <c r="O386" s="113">
        <f>O388</f>
        <v>-370</v>
      </c>
      <c r="P386" s="114">
        <f>P388</f>
        <v>500</v>
      </c>
      <c r="Q386" s="114">
        <f>Q388</f>
        <v>544.10500000000002</v>
      </c>
      <c r="R386" s="113">
        <f>R388+R387</f>
        <v>362.6</v>
      </c>
      <c r="S386" s="113">
        <f>S388+S387</f>
        <v>14.307000000000002</v>
      </c>
      <c r="T386" s="116">
        <f>T388+T387</f>
        <v>18842.87326</v>
      </c>
    </row>
    <row r="387" spans="1:21" ht="22.5">
      <c r="A387" s="233" t="s">
        <v>601</v>
      </c>
      <c r="B387" s="211" t="s">
        <v>134</v>
      </c>
      <c r="C387" s="211" t="s">
        <v>237</v>
      </c>
      <c r="D387" s="211" t="s">
        <v>129</v>
      </c>
      <c r="E387" s="211" t="s">
        <v>602</v>
      </c>
      <c r="F387" s="212" t="s">
        <v>152</v>
      </c>
      <c r="G387" s="117"/>
      <c r="H387" s="117"/>
      <c r="I387" s="117"/>
      <c r="J387" s="117"/>
      <c r="K387" s="117"/>
      <c r="L387" s="117"/>
      <c r="M387" s="117"/>
      <c r="N387" s="117"/>
      <c r="O387" s="117"/>
      <c r="P387" s="118"/>
      <c r="Q387" s="118"/>
      <c r="R387" s="119">
        <v>112.6</v>
      </c>
      <c r="S387" s="119"/>
      <c r="T387" s="120">
        <v>112.50108</v>
      </c>
    </row>
    <row r="388" spans="1:21">
      <c r="A388" s="210" t="s">
        <v>176</v>
      </c>
      <c r="B388" s="211" t="s">
        <v>134</v>
      </c>
      <c r="C388" s="211" t="s">
        <v>237</v>
      </c>
      <c r="D388" s="211" t="s">
        <v>129</v>
      </c>
      <c r="E388" s="211" t="s">
        <v>325</v>
      </c>
      <c r="F388" s="207"/>
      <c r="G388" s="117">
        <f t="shared" ref="G388:R388" si="91">G394+G393+G392+G390+G389+G391</f>
        <v>16110.400000000001</v>
      </c>
      <c r="H388" s="117">
        <f t="shared" si="91"/>
        <v>1639.4659999999999</v>
      </c>
      <c r="I388" s="117">
        <f t="shared" si="91"/>
        <v>0</v>
      </c>
      <c r="J388" s="117">
        <f t="shared" si="91"/>
        <v>0</v>
      </c>
      <c r="K388" s="117">
        <f t="shared" si="91"/>
        <v>-167.46600000000001</v>
      </c>
      <c r="L388" s="117">
        <f t="shared" si="91"/>
        <v>400</v>
      </c>
      <c r="M388" s="117">
        <f t="shared" si="91"/>
        <v>0</v>
      </c>
      <c r="N388" s="117">
        <f t="shared" si="91"/>
        <v>0</v>
      </c>
      <c r="O388" s="117">
        <f t="shared" si="91"/>
        <v>-370</v>
      </c>
      <c r="P388" s="118">
        <f t="shared" si="91"/>
        <v>500</v>
      </c>
      <c r="Q388" s="118">
        <f t="shared" si="91"/>
        <v>544.10500000000002</v>
      </c>
      <c r="R388" s="117">
        <f t="shared" si="91"/>
        <v>250</v>
      </c>
      <c r="S388" s="117">
        <f>S394+S393+S392+S390+S389+S391</f>
        <v>14.307000000000002</v>
      </c>
      <c r="T388" s="120">
        <f>T394+T393+T392+T390+T389+T391</f>
        <v>18730.372179999998</v>
      </c>
    </row>
    <row r="389" spans="1:21">
      <c r="A389" s="213" t="s">
        <v>139</v>
      </c>
      <c r="B389" s="211" t="s">
        <v>134</v>
      </c>
      <c r="C389" s="211" t="s">
        <v>237</v>
      </c>
      <c r="D389" s="211" t="s">
        <v>129</v>
      </c>
      <c r="E389" s="211" t="s">
        <v>325</v>
      </c>
      <c r="F389" s="212" t="s">
        <v>185</v>
      </c>
      <c r="G389" s="117">
        <f>7276.5+2197.5</f>
        <v>9474</v>
      </c>
      <c r="H389" s="121">
        <f>167.466+1072</f>
        <v>1239.4659999999999</v>
      </c>
      <c r="I389" s="121"/>
      <c r="J389" s="121"/>
      <c r="K389" s="121">
        <v>-167.46600000000001</v>
      </c>
      <c r="L389" s="121"/>
      <c r="M389" s="121"/>
      <c r="N389" s="121"/>
      <c r="O389" s="121"/>
      <c r="P389" s="122"/>
      <c r="Q389" s="122"/>
      <c r="R389" s="123"/>
      <c r="S389" s="123">
        <f>14.307+200+87.625</f>
        <v>301.93200000000002</v>
      </c>
      <c r="T389" s="124">
        <v>10847.932000000001</v>
      </c>
      <c r="U389" s="8"/>
    </row>
    <row r="390" spans="1:21">
      <c r="A390" s="214" t="s">
        <v>142</v>
      </c>
      <c r="B390" s="211" t="s">
        <v>134</v>
      </c>
      <c r="C390" s="211" t="s">
        <v>237</v>
      </c>
      <c r="D390" s="211" t="s">
        <v>129</v>
      </c>
      <c r="E390" s="211" t="s">
        <v>325</v>
      </c>
      <c r="F390" s="212" t="s">
        <v>235</v>
      </c>
      <c r="G390" s="117">
        <f>345.8+12.12</f>
        <v>357.92</v>
      </c>
      <c r="H390" s="121"/>
      <c r="I390" s="121"/>
      <c r="J390" s="121"/>
      <c r="K390" s="121"/>
      <c r="L390" s="121"/>
      <c r="M390" s="121"/>
      <c r="N390" s="121"/>
      <c r="O390" s="121">
        <v>3</v>
      </c>
      <c r="P390" s="122"/>
      <c r="Q390" s="122"/>
      <c r="R390" s="123"/>
      <c r="S390" s="123">
        <v>-200</v>
      </c>
      <c r="T390" s="124">
        <v>157.69999999999999</v>
      </c>
    </row>
    <row r="391" spans="1:21" ht="22.5">
      <c r="A391" s="214" t="s">
        <v>149</v>
      </c>
      <c r="B391" s="211" t="s">
        <v>134</v>
      </c>
      <c r="C391" s="211" t="s">
        <v>237</v>
      </c>
      <c r="D391" s="211" t="s">
        <v>129</v>
      </c>
      <c r="E391" s="211" t="s">
        <v>325</v>
      </c>
      <c r="F391" s="212" t="s">
        <v>150</v>
      </c>
      <c r="G391" s="117">
        <v>172.04</v>
      </c>
      <c r="H391" s="121"/>
      <c r="I391" s="121"/>
      <c r="J391" s="121"/>
      <c r="K391" s="121"/>
      <c r="L391" s="121"/>
      <c r="M391" s="121"/>
      <c r="N391" s="121"/>
      <c r="O391" s="121"/>
      <c r="P391" s="122">
        <v>50.84</v>
      </c>
      <c r="Q391" s="122">
        <f>40+25</f>
        <v>65</v>
      </c>
      <c r="R391" s="123"/>
      <c r="S391" s="123">
        <v>42.558959999999999</v>
      </c>
      <c r="T391" s="124">
        <v>330.43896000000001</v>
      </c>
    </row>
    <row r="392" spans="1:21">
      <c r="A392" s="214" t="s">
        <v>151</v>
      </c>
      <c r="B392" s="211" t="s">
        <v>134</v>
      </c>
      <c r="C392" s="211" t="s">
        <v>237</v>
      </c>
      <c r="D392" s="211" t="s">
        <v>129</v>
      </c>
      <c r="E392" s="211" t="s">
        <v>325</v>
      </c>
      <c r="F392" s="212" t="s">
        <v>152</v>
      </c>
      <c r="G392" s="117">
        <f>5377.21+700</f>
        <v>6077.21</v>
      </c>
      <c r="H392" s="121">
        <f>400</f>
        <v>400</v>
      </c>
      <c r="I392" s="121"/>
      <c r="J392" s="121"/>
      <c r="K392" s="121"/>
      <c r="L392" s="121">
        <v>400</v>
      </c>
      <c r="M392" s="121">
        <f>-50</f>
        <v>-50</v>
      </c>
      <c r="N392" s="121"/>
      <c r="O392" s="121">
        <f>-3+290-660</f>
        <v>-373</v>
      </c>
      <c r="P392" s="122">
        <f>200+99.16+60</f>
        <v>359.15999999999997</v>
      </c>
      <c r="Q392" s="122">
        <f>-40+528.8</f>
        <v>488.79999999999995</v>
      </c>
      <c r="R392" s="123">
        <v>235</v>
      </c>
      <c r="S392" s="123">
        <f>-44.55896-87.625</f>
        <v>-132.18396000000001</v>
      </c>
      <c r="T392" s="124">
        <v>7217.7662200000004</v>
      </c>
    </row>
    <row r="393" spans="1:21">
      <c r="A393" s="217" t="s">
        <v>155</v>
      </c>
      <c r="B393" s="211" t="s">
        <v>134</v>
      </c>
      <c r="C393" s="211" t="s">
        <v>237</v>
      </c>
      <c r="D393" s="211" t="s">
        <v>129</v>
      </c>
      <c r="E393" s="211" t="s">
        <v>325</v>
      </c>
      <c r="F393" s="212" t="s">
        <v>156</v>
      </c>
      <c r="G393" s="117">
        <v>21.4</v>
      </c>
      <c r="H393" s="121"/>
      <c r="I393" s="121"/>
      <c r="J393" s="121"/>
      <c r="K393" s="121"/>
      <c r="L393" s="121"/>
      <c r="M393" s="121"/>
      <c r="N393" s="121"/>
      <c r="O393" s="121"/>
      <c r="P393" s="122"/>
      <c r="Q393" s="122">
        <v>-9.6950000000000003</v>
      </c>
      <c r="R393" s="123"/>
      <c r="S393" s="123"/>
      <c r="T393" s="124">
        <v>11.705</v>
      </c>
    </row>
    <row r="394" spans="1:21">
      <c r="A394" s="217" t="s">
        <v>157</v>
      </c>
      <c r="B394" s="211" t="s">
        <v>134</v>
      </c>
      <c r="C394" s="211" t="s">
        <v>237</v>
      </c>
      <c r="D394" s="211" t="s">
        <v>129</v>
      </c>
      <c r="E394" s="211" t="s">
        <v>325</v>
      </c>
      <c r="F394" s="212" t="s">
        <v>158</v>
      </c>
      <c r="G394" s="117">
        <v>7.83</v>
      </c>
      <c r="H394" s="121"/>
      <c r="I394" s="121"/>
      <c r="J394" s="121"/>
      <c r="K394" s="121"/>
      <c r="L394" s="121"/>
      <c r="M394" s="121">
        <v>50</v>
      </c>
      <c r="N394" s="121"/>
      <c r="O394" s="121"/>
      <c r="P394" s="122">
        <f>70+20</f>
        <v>90</v>
      </c>
      <c r="Q394" s="122"/>
      <c r="R394" s="123">
        <v>15</v>
      </c>
      <c r="S394" s="123">
        <v>2</v>
      </c>
      <c r="T394" s="124">
        <v>164.83</v>
      </c>
    </row>
    <row r="395" spans="1:21">
      <c r="A395" s="208" t="s">
        <v>326</v>
      </c>
      <c r="B395" s="209" t="s">
        <v>134</v>
      </c>
      <c r="C395" s="209" t="s">
        <v>237</v>
      </c>
      <c r="D395" s="209" t="s">
        <v>129</v>
      </c>
      <c r="E395" s="209" t="s">
        <v>327</v>
      </c>
      <c r="F395" s="207"/>
      <c r="G395" s="113">
        <f t="shared" ref="G395:T395" si="92">G396</f>
        <v>10202.812999999998</v>
      </c>
      <c r="H395" s="113">
        <f t="shared" si="92"/>
        <v>1521.78</v>
      </c>
      <c r="I395" s="113">
        <f t="shared" si="92"/>
        <v>0</v>
      </c>
      <c r="J395" s="113">
        <f t="shared" si="92"/>
        <v>150</v>
      </c>
      <c r="K395" s="113">
        <f t="shared" si="92"/>
        <v>167.46600000000001</v>
      </c>
      <c r="L395" s="113">
        <f t="shared" si="92"/>
        <v>591.86</v>
      </c>
      <c r="M395" s="113">
        <f t="shared" si="92"/>
        <v>0</v>
      </c>
      <c r="N395" s="113">
        <f t="shared" si="92"/>
        <v>0</v>
      </c>
      <c r="O395" s="113">
        <f t="shared" si="92"/>
        <v>0</v>
      </c>
      <c r="P395" s="114">
        <f t="shared" si="92"/>
        <v>0</v>
      </c>
      <c r="Q395" s="114">
        <f t="shared" si="92"/>
        <v>26.951999999999998</v>
      </c>
      <c r="R395" s="113">
        <f t="shared" si="92"/>
        <v>100</v>
      </c>
      <c r="S395" s="113">
        <f t="shared" si="92"/>
        <v>9.4629999999999939</v>
      </c>
      <c r="T395" s="116">
        <f t="shared" si="92"/>
        <v>12575.88169</v>
      </c>
      <c r="U395" s="8"/>
    </row>
    <row r="396" spans="1:21">
      <c r="A396" s="210" t="s">
        <v>176</v>
      </c>
      <c r="B396" s="211" t="s">
        <v>134</v>
      </c>
      <c r="C396" s="211" t="s">
        <v>237</v>
      </c>
      <c r="D396" s="211" t="s">
        <v>129</v>
      </c>
      <c r="E396" s="211" t="s">
        <v>328</v>
      </c>
      <c r="F396" s="212"/>
      <c r="G396" s="117">
        <f t="shared" ref="G396:S396" si="93">G402+G401+G400+G398+G397+G399</f>
        <v>10202.812999999998</v>
      </c>
      <c r="H396" s="117">
        <f t="shared" si="93"/>
        <v>1521.78</v>
      </c>
      <c r="I396" s="117">
        <f t="shared" si="93"/>
        <v>0</v>
      </c>
      <c r="J396" s="117">
        <f t="shared" si="93"/>
        <v>150</v>
      </c>
      <c r="K396" s="117">
        <f t="shared" si="93"/>
        <v>167.46600000000001</v>
      </c>
      <c r="L396" s="117">
        <f t="shared" si="93"/>
        <v>591.86</v>
      </c>
      <c r="M396" s="117">
        <f t="shared" si="93"/>
        <v>0</v>
      </c>
      <c r="N396" s="117">
        <f t="shared" si="93"/>
        <v>0</v>
      </c>
      <c r="O396" s="117">
        <f t="shared" si="93"/>
        <v>0</v>
      </c>
      <c r="P396" s="118">
        <f t="shared" si="93"/>
        <v>0</v>
      </c>
      <c r="Q396" s="118">
        <f t="shared" si="93"/>
        <v>26.951999999999998</v>
      </c>
      <c r="R396" s="117">
        <f t="shared" si="93"/>
        <v>100</v>
      </c>
      <c r="S396" s="117">
        <f t="shared" si="93"/>
        <v>9.4629999999999939</v>
      </c>
      <c r="T396" s="120">
        <f>T402+T401+T400+T398+T397+T399</f>
        <v>12575.88169</v>
      </c>
    </row>
    <row r="397" spans="1:21">
      <c r="A397" s="213" t="s">
        <v>139</v>
      </c>
      <c r="B397" s="211" t="s">
        <v>134</v>
      </c>
      <c r="C397" s="211" t="s">
        <v>237</v>
      </c>
      <c r="D397" s="211" t="s">
        <v>129</v>
      </c>
      <c r="E397" s="211" t="s">
        <v>328</v>
      </c>
      <c r="F397" s="212" t="s">
        <v>185</v>
      </c>
      <c r="G397" s="117">
        <f>5222.2+1577.1</f>
        <v>6799.2999999999993</v>
      </c>
      <c r="H397" s="121">
        <v>160</v>
      </c>
      <c r="I397" s="121"/>
      <c r="J397" s="121"/>
      <c r="K397" s="121">
        <v>167.46600000000001</v>
      </c>
      <c r="L397" s="121"/>
      <c r="M397" s="121"/>
      <c r="N397" s="121"/>
      <c r="O397" s="121"/>
      <c r="P397" s="122"/>
      <c r="Q397" s="122"/>
      <c r="R397" s="123"/>
      <c r="S397" s="123">
        <f>-176.085+9.463</f>
        <v>-166.62200000000001</v>
      </c>
      <c r="T397" s="124">
        <v>6960.1440000000002</v>
      </c>
    </row>
    <row r="398" spans="1:21">
      <c r="A398" s="214" t="s">
        <v>142</v>
      </c>
      <c r="B398" s="211" t="s">
        <v>134</v>
      </c>
      <c r="C398" s="211" t="s">
        <v>237</v>
      </c>
      <c r="D398" s="211" t="s">
        <v>129</v>
      </c>
      <c r="E398" s="211" t="s">
        <v>328</v>
      </c>
      <c r="F398" s="212" t="s">
        <v>235</v>
      </c>
      <c r="G398" s="117">
        <f>214.76+4.131</f>
        <v>218.89099999999999</v>
      </c>
      <c r="H398" s="121"/>
      <c r="I398" s="121"/>
      <c r="J398" s="121"/>
      <c r="K398" s="121"/>
      <c r="L398" s="121"/>
      <c r="M398" s="121"/>
      <c r="N398" s="121"/>
      <c r="O398" s="121"/>
      <c r="P398" s="122"/>
      <c r="Q398" s="122">
        <v>60</v>
      </c>
      <c r="R398" s="123"/>
      <c r="S398" s="123">
        <f>1.609+30.497+2.1+10.6</f>
        <v>44.806000000000004</v>
      </c>
      <c r="T398" s="124">
        <v>313.09699999999998</v>
      </c>
    </row>
    <row r="399" spans="1:21" ht="22.5">
      <c r="A399" s="214" t="s">
        <v>149</v>
      </c>
      <c r="B399" s="211" t="s">
        <v>134</v>
      </c>
      <c r="C399" s="211" t="s">
        <v>237</v>
      </c>
      <c r="D399" s="211" t="s">
        <v>129</v>
      </c>
      <c r="E399" s="211" t="s">
        <v>328</v>
      </c>
      <c r="F399" s="212" t="s">
        <v>150</v>
      </c>
      <c r="G399" s="117"/>
      <c r="H399" s="121"/>
      <c r="I399" s="121"/>
      <c r="J399" s="121"/>
      <c r="K399" s="121">
        <v>96.8</v>
      </c>
      <c r="L399" s="121"/>
      <c r="M399" s="121"/>
      <c r="N399" s="121"/>
      <c r="O399" s="121"/>
      <c r="P399" s="122"/>
      <c r="Q399" s="122"/>
      <c r="R399" s="123"/>
      <c r="S399" s="123">
        <v>-21.28</v>
      </c>
      <c r="T399" s="124">
        <v>75.52</v>
      </c>
    </row>
    <row r="400" spans="1:21">
      <c r="A400" s="214" t="s">
        <v>151</v>
      </c>
      <c r="B400" s="211" t="s">
        <v>134</v>
      </c>
      <c r="C400" s="211" t="s">
        <v>237</v>
      </c>
      <c r="D400" s="211" t="s">
        <v>129</v>
      </c>
      <c r="E400" s="211" t="s">
        <v>328</v>
      </c>
      <c r="F400" s="212" t="s">
        <v>152</v>
      </c>
      <c r="G400" s="117">
        <v>3029.5219999999999</v>
      </c>
      <c r="H400" s="121">
        <f>861.78+500</f>
        <v>1361.78</v>
      </c>
      <c r="I400" s="121"/>
      <c r="J400" s="121">
        <v>150</v>
      </c>
      <c r="K400" s="121">
        <v>-96.8</v>
      </c>
      <c r="L400" s="121">
        <f>57.18+334.68+160</f>
        <v>551.86</v>
      </c>
      <c r="M400" s="121"/>
      <c r="N400" s="121"/>
      <c r="O400" s="121"/>
      <c r="P400" s="122"/>
      <c r="Q400" s="122"/>
      <c r="R400" s="123">
        <v>100</v>
      </c>
      <c r="S400" s="123">
        <f>-1.609+166.868-2.1-10.6</f>
        <v>152.559</v>
      </c>
      <c r="T400" s="124">
        <v>5111.75533</v>
      </c>
      <c r="U400" s="8"/>
    </row>
    <row r="401" spans="1:20">
      <c r="A401" s="217" t="s">
        <v>155</v>
      </c>
      <c r="B401" s="211" t="s">
        <v>134</v>
      </c>
      <c r="C401" s="211" t="s">
        <v>237</v>
      </c>
      <c r="D401" s="211" t="s">
        <v>129</v>
      </c>
      <c r="E401" s="211" t="s">
        <v>328</v>
      </c>
      <c r="F401" s="212" t="s">
        <v>156</v>
      </c>
      <c r="G401" s="117">
        <v>151.6</v>
      </c>
      <c r="H401" s="121"/>
      <c r="I401" s="121"/>
      <c r="J401" s="121"/>
      <c r="K401" s="121"/>
      <c r="L401" s="121"/>
      <c r="M401" s="121"/>
      <c r="N401" s="121"/>
      <c r="O401" s="121"/>
      <c r="P401" s="122"/>
      <c r="Q401" s="122">
        <v>-33.048000000000002</v>
      </c>
      <c r="R401" s="123"/>
      <c r="S401" s="123"/>
      <c r="T401" s="124">
        <v>87.68</v>
      </c>
    </row>
    <row r="402" spans="1:20">
      <c r="A402" s="217" t="s">
        <v>157</v>
      </c>
      <c r="B402" s="211" t="s">
        <v>134</v>
      </c>
      <c r="C402" s="211" t="s">
        <v>237</v>
      </c>
      <c r="D402" s="211" t="s">
        <v>129</v>
      </c>
      <c r="E402" s="211" t="s">
        <v>328</v>
      </c>
      <c r="F402" s="212" t="s">
        <v>158</v>
      </c>
      <c r="G402" s="117">
        <v>3.5</v>
      </c>
      <c r="H402" s="121"/>
      <c r="I402" s="121"/>
      <c r="J402" s="121"/>
      <c r="K402" s="121"/>
      <c r="L402" s="121">
        <v>40</v>
      </c>
      <c r="M402" s="121"/>
      <c r="N402" s="121"/>
      <c r="O402" s="121"/>
      <c r="P402" s="122"/>
      <c r="Q402" s="122"/>
      <c r="R402" s="123"/>
      <c r="S402" s="123"/>
      <c r="T402" s="124">
        <v>27.685359999999999</v>
      </c>
    </row>
    <row r="403" spans="1:20" s="6" customFormat="1" ht="33.75">
      <c r="A403" s="226" t="s">
        <v>426</v>
      </c>
      <c r="B403" s="209" t="s">
        <v>134</v>
      </c>
      <c r="C403" s="209" t="s">
        <v>237</v>
      </c>
      <c r="D403" s="209" t="s">
        <v>129</v>
      </c>
      <c r="E403" s="209" t="s">
        <v>430</v>
      </c>
      <c r="F403" s="207"/>
      <c r="G403" s="113"/>
      <c r="H403" s="125"/>
      <c r="I403" s="125"/>
      <c r="J403" s="125"/>
      <c r="K403" s="125"/>
      <c r="L403" s="125"/>
      <c r="M403" s="125"/>
      <c r="N403" s="125"/>
      <c r="O403" s="125"/>
      <c r="P403" s="126">
        <f>P404+P405</f>
        <v>29.8385</v>
      </c>
      <c r="Q403" s="126">
        <f>Q404+Q405</f>
        <v>0</v>
      </c>
      <c r="R403" s="127"/>
      <c r="S403" s="127"/>
      <c r="T403" s="126">
        <f>T404+T405</f>
        <v>29.8385</v>
      </c>
    </row>
    <row r="404" spans="1:20">
      <c r="A404" s="213" t="s">
        <v>139</v>
      </c>
      <c r="B404" s="211" t="s">
        <v>134</v>
      </c>
      <c r="C404" s="211" t="s">
        <v>237</v>
      </c>
      <c r="D404" s="211" t="s">
        <v>129</v>
      </c>
      <c r="E404" s="211" t="s">
        <v>430</v>
      </c>
      <c r="F404" s="212" t="s">
        <v>185</v>
      </c>
      <c r="G404" s="117"/>
      <c r="H404" s="121"/>
      <c r="I404" s="121"/>
      <c r="J404" s="121"/>
      <c r="K404" s="121"/>
      <c r="L404" s="121"/>
      <c r="M404" s="121"/>
      <c r="N404" s="121"/>
      <c r="O404" s="121"/>
      <c r="P404" s="122">
        <v>0.98</v>
      </c>
      <c r="Q404" s="122"/>
      <c r="R404" s="123"/>
      <c r="S404" s="123"/>
      <c r="T404" s="122">
        <v>0.98</v>
      </c>
    </row>
    <row r="405" spans="1:20">
      <c r="A405" s="227" t="s">
        <v>427</v>
      </c>
      <c r="B405" s="211" t="s">
        <v>134</v>
      </c>
      <c r="C405" s="211" t="s">
        <v>237</v>
      </c>
      <c r="D405" s="211" t="s">
        <v>129</v>
      </c>
      <c r="E405" s="211" t="s">
        <v>430</v>
      </c>
      <c r="F405" s="212" t="s">
        <v>428</v>
      </c>
      <c r="G405" s="117"/>
      <c r="H405" s="121"/>
      <c r="I405" s="121"/>
      <c r="J405" s="121"/>
      <c r="K405" s="121"/>
      <c r="L405" s="121"/>
      <c r="M405" s="121"/>
      <c r="N405" s="121"/>
      <c r="O405" s="121"/>
      <c r="P405" s="122">
        <v>28.858499999999999</v>
      </c>
      <c r="Q405" s="122"/>
      <c r="R405" s="123"/>
      <c r="S405" s="123"/>
      <c r="T405" s="122">
        <v>28.858499999999999</v>
      </c>
    </row>
    <row r="406" spans="1:20" ht="24.75" customHeight="1">
      <c r="A406" s="218" t="s">
        <v>555</v>
      </c>
      <c r="B406" s="209" t="s">
        <v>134</v>
      </c>
      <c r="C406" s="209" t="s">
        <v>237</v>
      </c>
      <c r="D406" s="209" t="s">
        <v>129</v>
      </c>
      <c r="E406" s="209" t="s">
        <v>549</v>
      </c>
      <c r="F406" s="207"/>
      <c r="G406" s="117"/>
      <c r="H406" s="121"/>
      <c r="I406" s="121"/>
      <c r="J406" s="121"/>
      <c r="K406" s="121"/>
      <c r="L406" s="121"/>
      <c r="M406" s="121"/>
      <c r="N406" s="121"/>
      <c r="O406" s="121"/>
      <c r="P406" s="126">
        <f>P407</f>
        <v>42.743000000000002</v>
      </c>
      <c r="Q406" s="126">
        <f>Q407</f>
        <v>0</v>
      </c>
      <c r="R406" s="125"/>
      <c r="S406" s="125"/>
      <c r="T406" s="126">
        <f>T407</f>
        <v>42.743000000000002</v>
      </c>
    </row>
    <row r="407" spans="1:20">
      <c r="A407" s="214" t="s">
        <v>155</v>
      </c>
      <c r="B407" s="211" t="s">
        <v>134</v>
      </c>
      <c r="C407" s="211" t="s">
        <v>237</v>
      </c>
      <c r="D407" s="211" t="s">
        <v>129</v>
      </c>
      <c r="E407" s="211" t="s">
        <v>549</v>
      </c>
      <c r="F407" s="212" t="s">
        <v>156</v>
      </c>
      <c r="G407" s="117"/>
      <c r="H407" s="121"/>
      <c r="I407" s="121"/>
      <c r="J407" s="121"/>
      <c r="K407" s="121"/>
      <c r="L407" s="121"/>
      <c r="M407" s="121"/>
      <c r="N407" s="121"/>
      <c r="O407" s="121"/>
      <c r="P407" s="122">
        <f>9.695+33.048</f>
        <v>42.743000000000002</v>
      </c>
      <c r="Q407" s="122"/>
      <c r="R407" s="123"/>
      <c r="S407" s="123"/>
      <c r="T407" s="124">
        <v>42.743000000000002</v>
      </c>
    </row>
    <row r="408" spans="1:20" ht="33.75">
      <c r="A408" s="245" t="s">
        <v>426</v>
      </c>
      <c r="B408" s="211" t="s">
        <v>134</v>
      </c>
      <c r="C408" s="211" t="s">
        <v>237</v>
      </c>
      <c r="D408" s="211" t="s">
        <v>129</v>
      </c>
      <c r="E408" s="211" t="s">
        <v>603</v>
      </c>
      <c r="F408" s="212"/>
      <c r="G408" s="117"/>
      <c r="H408" s="121"/>
      <c r="I408" s="121"/>
      <c r="J408" s="121"/>
      <c r="K408" s="121"/>
      <c r="L408" s="121"/>
      <c r="M408" s="121"/>
      <c r="N408" s="121"/>
      <c r="O408" s="121"/>
      <c r="P408" s="122"/>
      <c r="Q408" s="122"/>
      <c r="R408" s="123">
        <f>R409+R410</f>
        <v>2226.8000000000002</v>
      </c>
      <c r="S408" s="123"/>
      <c r="T408" s="124">
        <f>T409+T410</f>
        <v>2226.8000000000002</v>
      </c>
    </row>
    <row r="409" spans="1:20">
      <c r="A409" s="213" t="s">
        <v>139</v>
      </c>
      <c r="B409" s="211" t="s">
        <v>134</v>
      </c>
      <c r="C409" s="211" t="s">
        <v>237</v>
      </c>
      <c r="D409" s="211" t="s">
        <v>129</v>
      </c>
      <c r="E409" s="211" t="s">
        <v>603</v>
      </c>
      <c r="F409" s="212" t="s">
        <v>185</v>
      </c>
      <c r="G409" s="117"/>
      <c r="H409" s="121"/>
      <c r="I409" s="121"/>
      <c r="J409" s="121"/>
      <c r="K409" s="121"/>
      <c r="L409" s="121"/>
      <c r="M409" s="121"/>
      <c r="N409" s="121"/>
      <c r="O409" s="121"/>
      <c r="P409" s="122"/>
      <c r="Q409" s="122"/>
      <c r="R409" s="123">
        <v>755.8</v>
      </c>
      <c r="S409" s="123"/>
      <c r="T409" s="124">
        <v>755.8</v>
      </c>
    </row>
    <row r="410" spans="1:20" ht="22.5" customHeight="1">
      <c r="A410" s="214" t="s">
        <v>255</v>
      </c>
      <c r="B410" s="211" t="s">
        <v>134</v>
      </c>
      <c r="C410" s="211" t="s">
        <v>237</v>
      </c>
      <c r="D410" s="211" t="s">
        <v>129</v>
      </c>
      <c r="E410" s="211" t="s">
        <v>603</v>
      </c>
      <c r="F410" s="212" t="s">
        <v>256</v>
      </c>
      <c r="G410" s="117"/>
      <c r="H410" s="121"/>
      <c r="I410" s="121"/>
      <c r="J410" s="121"/>
      <c r="K410" s="121"/>
      <c r="L410" s="121"/>
      <c r="M410" s="121"/>
      <c r="N410" s="121"/>
      <c r="O410" s="121"/>
      <c r="P410" s="122"/>
      <c r="Q410" s="122"/>
      <c r="R410" s="123">
        <v>1471</v>
      </c>
      <c r="S410" s="123"/>
      <c r="T410" s="124">
        <v>1471</v>
      </c>
    </row>
    <row r="411" spans="1:20" s="6" customFormat="1" ht="56.25">
      <c r="A411" s="215" t="s">
        <v>553</v>
      </c>
      <c r="B411" s="209" t="s">
        <v>134</v>
      </c>
      <c r="C411" s="209" t="s">
        <v>237</v>
      </c>
      <c r="D411" s="209" t="s">
        <v>129</v>
      </c>
      <c r="E411" s="209" t="s">
        <v>554</v>
      </c>
      <c r="F411" s="207"/>
      <c r="G411" s="113"/>
      <c r="H411" s="125"/>
      <c r="I411" s="125"/>
      <c r="J411" s="125"/>
      <c r="K411" s="125"/>
      <c r="L411" s="125"/>
      <c r="M411" s="125"/>
      <c r="N411" s="125"/>
      <c r="O411" s="125"/>
      <c r="P411" s="126"/>
      <c r="Q411" s="126"/>
      <c r="R411" s="127">
        <f>R412</f>
        <v>451.73</v>
      </c>
      <c r="S411" s="127"/>
      <c r="T411" s="128">
        <f>T412</f>
        <v>451.7</v>
      </c>
    </row>
    <row r="412" spans="1:20">
      <c r="A412" s="213" t="s">
        <v>139</v>
      </c>
      <c r="B412" s="211" t="s">
        <v>134</v>
      </c>
      <c r="C412" s="211" t="s">
        <v>237</v>
      </c>
      <c r="D412" s="211" t="s">
        <v>129</v>
      </c>
      <c r="E412" s="211" t="s">
        <v>554</v>
      </c>
      <c r="F412" s="212" t="s">
        <v>185</v>
      </c>
      <c r="G412" s="117"/>
      <c r="H412" s="121"/>
      <c r="I412" s="121"/>
      <c r="J412" s="121"/>
      <c r="K412" s="121"/>
      <c r="L412" s="121"/>
      <c r="M412" s="121"/>
      <c r="N412" s="121"/>
      <c r="O412" s="121"/>
      <c r="P412" s="122"/>
      <c r="Q412" s="122"/>
      <c r="R412" s="123">
        <v>451.73</v>
      </c>
      <c r="S412" s="123"/>
      <c r="T412" s="124">
        <v>451.7</v>
      </c>
    </row>
    <row r="413" spans="1:20" ht="22.5">
      <c r="A413" s="216" t="s">
        <v>329</v>
      </c>
      <c r="B413" s="209"/>
      <c r="C413" s="209" t="s">
        <v>237</v>
      </c>
      <c r="D413" s="209" t="s">
        <v>145</v>
      </c>
      <c r="E413" s="209"/>
      <c r="F413" s="207"/>
      <c r="G413" s="113">
        <f t="shared" ref="G413:Q414" si="94">G414</f>
        <v>800</v>
      </c>
      <c r="H413" s="113">
        <f t="shared" si="94"/>
        <v>1700</v>
      </c>
      <c r="I413" s="113">
        <f t="shared" si="94"/>
        <v>0</v>
      </c>
      <c r="J413" s="113">
        <f t="shared" si="94"/>
        <v>0</v>
      </c>
      <c r="K413" s="113">
        <f t="shared" si="94"/>
        <v>0</v>
      </c>
      <c r="L413" s="113">
        <f t="shared" si="94"/>
        <v>0</v>
      </c>
      <c r="M413" s="113">
        <f t="shared" si="94"/>
        <v>0</v>
      </c>
      <c r="N413" s="113">
        <f t="shared" si="94"/>
        <v>0</v>
      </c>
      <c r="O413" s="113">
        <f t="shared" si="94"/>
        <v>0</v>
      </c>
      <c r="P413" s="114">
        <f t="shared" si="94"/>
        <v>280</v>
      </c>
      <c r="Q413" s="114">
        <f t="shared" si="94"/>
        <v>0</v>
      </c>
      <c r="R413" s="115"/>
      <c r="S413" s="115"/>
      <c r="T413" s="116">
        <f>T414</f>
        <v>2669.2456000000002</v>
      </c>
    </row>
    <row r="414" spans="1:20" s="6" customFormat="1">
      <c r="A414" s="216" t="s">
        <v>190</v>
      </c>
      <c r="B414" s="209" t="s">
        <v>134</v>
      </c>
      <c r="C414" s="209" t="s">
        <v>237</v>
      </c>
      <c r="D414" s="209" t="s">
        <v>145</v>
      </c>
      <c r="E414" s="209" t="s">
        <v>191</v>
      </c>
      <c r="F414" s="207"/>
      <c r="G414" s="117">
        <f t="shared" si="94"/>
        <v>800</v>
      </c>
      <c r="H414" s="117">
        <f t="shared" si="94"/>
        <v>1700</v>
      </c>
      <c r="I414" s="117">
        <f t="shared" si="94"/>
        <v>0</v>
      </c>
      <c r="J414" s="117">
        <f t="shared" si="94"/>
        <v>0</v>
      </c>
      <c r="K414" s="117">
        <f t="shared" si="94"/>
        <v>0</v>
      </c>
      <c r="L414" s="117">
        <f t="shared" si="94"/>
        <v>0</v>
      </c>
      <c r="M414" s="117">
        <f t="shared" si="94"/>
        <v>0</v>
      </c>
      <c r="N414" s="117">
        <f t="shared" si="94"/>
        <v>0</v>
      </c>
      <c r="O414" s="117">
        <f t="shared" si="94"/>
        <v>0</v>
      </c>
      <c r="P414" s="118">
        <f t="shared" si="94"/>
        <v>280</v>
      </c>
      <c r="Q414" s="118">
        <f t="shared" si="94"/>
        <v>0</v>
      </c>
      <c r="R414" s="119"/>
      <c r="S414" s="119"/>
      <c r="T414" s="116">
        <f>T415</f>
        <v>2669.2456000000002</v>
      </c>
    </row>
    <row r="415" spans="1:20">
      <c r="A415" s="214" t="s">
        <v>151</v>
      </c>
      <c r="B415" s="211" t="s">
        <v>134</v>
      </c>
      <c r="C415" s="211" t="s">
        <v>237</v>
      </c>
      <c r="D415" s="211" t="s">
        <v>145</v>
      </c>
      <c r="E415" s="211" t="s">
        <v>191</v>
      </c>
      <c r="F415" s="212" t="s">
        <v>152</v>
      </c>
      <c r="G415" s="117">
        <v>800</v>
      </c>
      <c r="H415" s="121">
        <f>1200+500</f>
        <v>1700</v>
      </c>
      <c r="I415" s="121"/>
      <c r="J415" s="121"/>
      <c r="K415" s="121"/>
      <c r="L415" s="121"/>
      <c r="M415" s="121"/>
      <c r="N415" s="121"/>
      <c r="O415" s="121"/>
      <c r="P415" s="122">
        <v>280</v>
      </c>
      <c r="Q415" s="122"/>
      <c r="R415" s="123"/>
      <c r="S415" s="123"/>
      <c r="T415" s="124">
        <v>2669.2456000000002</v>
      </c>
    </row>
    <row r="416" spans="1:20">
      <c r="A416" s="208" t="s">
        <v>330</v>
      </c>
      <c r="B416" s="209"/>
      <c r="C416" s="209">
        <v>10</v>
      </c>
      <c r="D416" s="209"/>
      <c r="E416" s="209"/>
      <c r="F416" s="207"/>
      <c r="G416" s="113" t="e">
        <f t="shared" ref="G416:M416" si="95">G417+G420+G430+G461</f>
        <v>#REF!</v>
      </c>
      <c r="H416" s="113" t="e">
        <f t="shared" si="95"/>
        <v>#REF!</v>
      </c>
      <c r="I416" s="113" t="e">
        <f t="shared" si="95"/>
        <v>#REF!</v>
      </c>
      <c r="J416" s="113" t="e">
        <f t="shared" si="95"/>
        <v>#REF!</v>
      </c>
      <c r="K416" s="113" t="e">
        <f t="shared" si="95"/>
        <v>#REF!</v>
      </c>
      <c r="L416" s="113" t="e">
        <f t="shared" si="95"/>
        <v>#REF!</v>
      </c>
      <c r="M416" s="113" t="e">
        <f t="shared" si="95"/>
        <v>#REF!</v>
      </c>
      <c r="N416" s="113" t="e">
        <f>N420+N430+N461</f>
        <v>#REF!</v>
      </c>
      <c r="O416" s="113">
        <f>O417+O420</f>
        <v>1687.93</v>
      </c>
      <c r="P416" s="114" t="e">
        <f>P417+P420+P430+P461</f>
        <v>#REF!</v>
      </c>
      <c r="Q416" s="114">
        <f>Q417+Q420</f>
        <v>230</v>
      </c>
      <c r="R416" s="113" t="e">
        <f>R417+R420+R430+R461</f>
        <v>#REF!</v>
      </c>
      <c r="S416" s="113" t="e">
        <f>S417+S420+S430+S461</f>
        <v>#REF!</v>
      </c>
      <c r="T416" s="116">
        <f>T417+T420+T430+T461</f>
        <v>134731.33644000001</v>
      </c>
    </row>
    <row r="417" spans="1:20">
      <c r="A417" s="208" t="s">
        <v>331</v>
      </c>
      <c r="B417" s="209"/>
      <c r="C417" s="209">
        <v>10</v>
      </c>
      <c r="D417" s="209" t="s">
        <v>129</v>
      </c>
      <c r="E417" s="209"/>
      <c r="F417" s="207"/>
      <c r="G417" s="113">
        <f t="shared" ref="G417:T418" si="96">G418</f>
        <v>676</v>
      </c>
      <c r="H417" s="113">
        <f t="shared" si="96"/>
        <v>0</v>
      </c>
      <c r="I417" s="113">
        <f t="shared" si="96"/>
        <v>0</v>
      </c>
      <c r="J417" s="113">
        <f t="shared" si="96"/>
        <v>0</v>
      </c>
      <c r="K417" s="113">
        <f t="shared" si="96"/>
        <v>0</v>
      </c>
      <c r="L417" s="113">
        <f t="shared" si="96"/>
        <v>0</v>
      </c>
      <c r="M417" s="113">
        <f t="shared" si="96"/>
        <v>0</v>
      </c>
      <c r="N417" s="113">
        <f t="shared" si="96"/>
        <v>0</v>
      </c>
      <c r="O417" s="113">
        <f t="shared" si="96"/>
        <v>0</v>
      </c>
      <c r="P417" s="114">
        <f t="shared" si="96"/>
        <v>0</v>
      </c>
      <c r="Q417" s="114">
        <f t="shared" si="96"/>
        <v>230</v>
      </c>
      <c r="R417" s="115"/>
      <c r="S417" s="115"/>
      <c r="T417" s="116">
        <f t="shared" si="96"/>
        <v>904.58344999999997</v>
      </c>
    </row>
    <row r="418" spans="1:20" ht="33.75">
      <c r="A418" s="210" t="s">
        <v>332</v>
      </c>
      <c r="B418" s="211" t="s">
        <v>134</v>
      </c>
      <c r="C418" s="246">
        <v>10</v>
      </c>
      <c r="D418" s="211" t="s">
        <v>129</v>
      </c>
      <c r="E418" s="246" t="s">
        <v>333</v>
      </c>
      <c r="F418" s="212"/>
      <c r="G418" s="117">
        <f>G419</f>
        <v>676</v>
      </c>
      <c r="H418" s="117">
        <f t="shared" si="96"/>
        <v>0</v>
      </c>
      <c r="I418" s="117">
        <f t="shared" si="96"/>
        <v>0</v>
      </c>
      <c r="J418" s="117">
        <f t="shared" si="96"/>
        <v>0</v>
      </c>
      <c r="K418" s="117">
        <f t="shared" si="96"/>
        <v>0</v>
      </c>
      <c r="L418" s="117">
        <f t="shared" si="96"/>
        <v>0</v>
      </c>
      <c r="M418" s="117">
        <f t="shared" si="96"/>
        <v>0</v>
      </c>
      <c r="N418" s="117">
        <f t="shared" si="96"/>
        <v>0</v>
      </c>
      <c r="O418" s="117">
        <f t="shared" si="96"/>
        <v>0</v>
      </c>
      <c r="P418" s="118">
        <f t="shared" si="96"/>
        <v>0</v>
      </c>
      <c r="Q418" s="118">
        <f t="shared" si="96"/>
        <v>230</v>
      </c>
      <c r="R418" s="119"/>
      <c r="S418" s="119"/>
      <c r="T418" s="120">
        <f>T419</f>
        <v>904.58344999999997</v>
      </c>
    </row>
    <row r="419" spans="1:20" ht="22.5">
      <c r="A419" s="214" t="s">
        <v>334</v>
      </c>
      <c r="B419" s="211" t="s">
        <v>134</v>
      </c>
      <c r="C419" s="246">
        <v>10</v>
      </c>
      <c r="D419" s="211" t="s">
        <v>129</v>
      </c>
      <c r="E419" s="246" t="s">
        <v>333</v>
      </c>
      <c r="F419" s="212" t="s">
        <v>335</v>
      </c>
      <c r="G419" s="117">
        <v>676</v>
      </c>
      <c r="H419" s="121"/>
      <c r="I419" s="121"/>
      <c r="J419" s="121"/>
      <c r="K419" s="121"/>
      <c r="L419" s="121"/>
      <c r="M419" s="121"/>
      <c r="N419" s="121"/>
      <c r="O419" s="121"/>
      <c r="P419" s="122"/>
      <c r="Q419" s="122">
        <v>230</v>
      </c>
      <c r="R419" s="123"/>
      <c r="S419" s="123"/>
      <c r="T419" s="124">
        <v>904.58344999999997</v>
      </c>
    </row>
    <row r="420" spans="1:20">
      <c r="A420" s="219" t="s">
        <v>336</v>
      </c>
      <c r="B420" s="211"/>
      <c r="C420" s="247">
        <v>10</v>
      </c>
      <c r="D420" s="209" t="s">
        <v>193</v>
      </c>
      <c r="E420" s="246"/>
      <c r="F420" s="212"/>
      <c r="G420" s="129">
        <f t="shared" ref="G420:M420" si="97">G423</f>
        <v>0</v>
      </c>
      <c r="H420" s="129">
        <f t="shared" si="97"/>
        <v>64</v>
      </c>
      <c r="I420" s="129">
        <f t="shared" si="97"/>
        <v>0</v>
      </c>
      <c r="J420" s="129">
        <f t="shared" si="97"/>
        <v>0</v>
      </c>
      <c r="K420" s="129">
        <f t="shared" si="97"/>
        <v>10</v>
      </c>
      <c r="L420" s="129">
        <f t="shared" si="97"/>
        <v>0</v>
      </c>
      <c r="M420" s="129">
        <f t="shared" si="97"/>
        <v>30</v>
      </c>
      <c r="N420" s="129">
        <f>N421+N426</f>
        <v>4374.2267300000003</v>
      </c>
      <c r="O420" s="129">
        <f>O423+O428</f>
        <v>1687.93</v>
      </c>
      <c r="P420" s="130">
        <f>P423+P428</f>
        <v>0</v>
      </c>
      <c r="Q420" s="130">
        <f>Q423+Q428</f>
        <v>0</v>
      </c>
      <c r="R420" s="129">
        <f>R423+R428</f>
        <v>0</v>
      </c>
      <c r="S420" s="129">
        <f>S423+S428</f>
        <v>10</v>
      </c>
      <c r="T420" s="131">
        <f>T423+T421+T426+T428</f>
        <v>4170.2115400000002</v>
      </c>
    </row>
    <row r="421" spans="1:20" ht="22.5">
      <c r="A421" s="216" t="s">
        <v>604</v>
      </c>
      <c r="B421" s="209" t="s">
        <v>134</v>
      </c>
      <c r="C421" s="247">
        <v>10</v>
      </c>
      <c r="D421" s="209" t="s">
        <v>193</v>
      </c>
      <c r="E421" s="247">
        <v>1008820</v>
      </c>
      <c r="F421" s="212"/>
      <c r="G421" s="129"/>
      <c r="H421" s="129"/>
      <c r="I421" s="129"/>
      <c r="J421" s="129"/>
      <c r="K421" s="129"/>
      <c r="L421" s="129"/>
      <c r="M421" s="129"/>
      <c r="N421" s="129">
        <f>N422</f>
        <v>2363.3964000000001</v>
      </c>
      <c r="O421" s="129">
        <f>O422</f>
        <v>0</v>
      </c>
      <c r="P421" s="130">
        <f>P422</f>
        <v>0</v>
      </c>
      <c r="Q421" s="130">
        <f>Q422</f>
        <v>0</v>
      </c>
      <c r="R421" s="142"/>
      <c r="S421" s="142"/>
      <c r="T421" s="131">
        <f>T422</f>
        <v>1630.0619999999999</v>
      </c>
    </row>
    <row r="422" spans="1:20">
      <c r="A422" s="219" t="s">
        <v>458</v>
      </c>
      <c r="B422" s="211" t="s">
        <v>134</v>
      </c>
      <c r="C422" s="246">
        <v>10</v>
      </c>
      <c r="D422" s="211" t="s">
        <v>193</v>
      </c>
      <c r="E422" s="246">
        <v>1008820</v>
      </c>
      <c r="F422" s="212" t="s">
        <v>457</v>
      </c>
      <c r="G422" s="129"/>
      <c r="H422" s="129"/>
      <c r="I422" s="129"/>
      <c r="J422" s="129"/>
      <c r="K422" s="129"/>
      <c r="L422" s="129"/>
      <c r="M422" s="129"/>
      <c r="N422" s="143">
        <v>2363.3964000000001</v>
      </c>
      <c r="O422" s="129"/>
      <c r="P422" s="130"/>
      <c r="Q422" s="130"/>
      <c r="R422" s="142">
        <f>2363.3964-2363.3964</f>
        <v>0</v>
      </c>
      <c r="S422" s="142"/>
      <c r="T422" s="144">
        <v>1630.0619999999999</v>
      </c>
    </row>
    <row r="423" spans="1:20" s="6" customFormat="1">
      <c r="A423" s="216" t="s">
        <v>337</v>
      </c>
      <c r="B423" s="209" t="s">
        <v>134</v>
      </c>
      <c r="C423" s="247">
        <v>10</v>
      </c>
      <c r="D423" s="209" t="s">
        <v>193</v>
      </c>
      <c r="E423" s="247">
        <v>5058690</v>
      </c>
      <c r="F423" s="207"/>
      <c r="G423" s="113">
        <f t="shared" ref="G423:L423" si="98">G424</f>
        <v>0</v>
      </c>
      <c r="H423" s="113">
        <f t="shared" si="98"/>
        <v>64</v>
      </c>
      <c r="I423" s="113">
        <f t="shared" si="98"/>
        <v>0</v>
      </c>
      <c r="J423" s="113">
        <f t="shared" si="98"/>
        <v>0</v>
      </c>
      <c r="K423" s="113">
        <f t="shared" si="98"/>
        <v>10</v>
      </c>
      <c r="L423" s="113">
        <f t="shared" si="98"/>
        <v>0</v>
      </c>
      <c r="M423" s="113">
        <f t="shared" ref="M423:T423" si="99">M424+M425</f>
        <v>30</v>
      </c>
      <c r="N423" s="113">
        <f t="shared" si="99"/>
        <v>0</v>
      </c>
      <c r="O423" s="113">
        <f t="shared" si="99"/>
        <v>187.93</v>
      </c>
      <c r="P423" s="114">
        <f t="shared" si="99"/>
        <v>0</v>
      </c>
      <c r="Q423" s="114">
        <f t="shared" si="99"/>
        <v>0</v>
      </c>
      <c r="R423" s="113">
        <f t="shared" si="99"/>
        <v>0</v>
      </c>
      <c r="S423" s="113">
        <f t="shared" si="99"/>
        <v>10</v>
      </c>
      <c r="T423" s="116">
        <f t="shared" si="99"/>
        <v>295.99153999999999</v>
      </c>
    </row>
    <row r="424" spans="1:20" ht="22.5">
      <c r="A424" s="214" t="s">
        <v>334</v>
      </c>
      <c r="B424" s="211" t="s">
        <v>134</v>
      </c>
      <c r="C424" s="246">
        <v>10</v>
      </c>
      <c r="D424" s="211" t="s">
        <v>193</v>
      </c>
      <c r="E424" s="246">
        <v>5058690</v>
      </c>
      <c r="F424" s="212" t="s">
        <v>338</v>
      </c>
      <c r="G424" s="117"/>
      <c r="H424" s="121">
        <v>64</v>
      </c>
      <c r="I424" s="121"/>
      <c r="J424" s="121"/>
      <c r="K424" s="121">
        <v>10</v>
      </c>
      <c r="L424" s="121"/>
      <c r="M424" s="121">
        <v>30</v>
      </c>
      <c r="N424" s="121"/>
      <c r="O424" s="121">
        <f>37.93</f>
        <v>37.93</v>
      </c>
      <c r="P424" s="122"/>
      <c r="Q424" s="122"/>
      <c r="R424" s="123"/>
      <c r="S424" s="123">
        <v>10</v>
      </c>
      <c r="T424" s="124">
        <v>145.99153999999999</v>
      </c>
    </row>
    <row r="425" spans="1:20">
      <c r="A425" s="214"/>
      <c r="B425" s="211" t="s">
        <v>134</v>
      </c>
      <c r="C425" s="246">
        <v>10</v>
      </c>
      <c r="D425" s="211" t="s">
        <v>193</v>
      </c>
      <c r="E425" s="246">
        <v>5058690</v>
      </c>
      <c r="F425" s="212" t="s">
        <v>437</v>
      </c>
      <c r="G425" s="117"/>
      <c r="H425" s="121"/>
      <c r="I425" s="121"/>
      <c r="J425" s="121"/>
      <c r="K425" s="121"/>
      <c r="L425" s="121"/>
      <c r="M425" s="121"/>
      <c r="N425" s="121"/>
      <c r="O425" s="121">
        <v>150</v>
      </c>
      <c r="P425" s="122"/>
      <c r="Q425" s="122"/>
      <c r="R425" s="123"/>
      <c r="S425" s="123"/>
      <c r="T425" s="124">
        <f>O425</f>
        <v>150</v>
      </c>
    </row>
    <row r="426" spans="1:20" s="6" customFormat="1" ht="22.5">
      <c r="A426" s="219" t="s">
        <v>604</v>
      </c>
      <c r="B426" s="209" t="s">
        <v>134</v>
      </c>
      <c r="C426" s="247">
        <v>10</v>
      </c>
      <c r="D426" s="209" t="s">
        <v>193</v>
      </c>
      <c r="E426" s="247">
        <v>6812100</v>
      </c>
      <c r="F426" s="207"/>
      <c r="G426" s="113"/>
      <c r="H426" s="125"/>
      <c r="I426" s="125"/>
      <c r="J426" s="125"/>
      <c r="K426" s="125"/>
      <c r="L426" s="125"/>
      <c r="M426" s="125"/>
      <c r="N426" s="125">
        <f>N427</f>
        <v>2010.83033</v>
      </c>
      <c r="O426" s="125">
        <f>O427</f>
        <v>0</v>
      </c>
      <c r="P426" s="126">
        <f>P427</f>
        <v>0</v>
      </c>
      <c r="Q426" s="126">
        <f>Q427</f>
        <v>0</v>
      </c>
      <c r="R426" s="127"/>
      <c r="S426" s="127"/>
      <c r="T426" s="128">
        <f>T427</f>
        <v>1344.1579999999999</v>
      </c>
    </row>
    <row r="427" spans="1:20" ht="22.5">
      <c r="A427" s="214" t="s">
        <v>334</v>
      </c>
      <c r="B427" s="211" t="s">
        <v>134</v>
      </c>
      <c r="C427" s="246">
        <v>10</v>
      </c>
      <c r="D427" s="211" t="s">
        <v>193</v>
      </c>
      <c r="E427" s="246">
        <v>6812100</v>
      </c>
      <c r="F427" s="212" t="s">
        <v>457</v>
      </c>
      <c r="G427" s="117"/>
      <c r="H427" s="121"/>
      <c r="I427" s="121"/>
      <c r="J427" s="121"/>
      <c r="K427" s="121"/>
      <c r="L427" s="121"/>
      <c r="M427" s="121"/>
      <c r="N427" s="121">
        <v>2010.83033</v>
      </c>
      <c r="O427" s="121"/>
      <c r="P427" s="122"/>
      <c r="Q427" s="122"/>
      <c r="R427" s="123"/>
      <c r="S427" s="123"/>
      <c r="T427" s="124">
        <v>1344.1579999999999</v>
      </c>
    </row>
    <row r="428" spans="1:20" s="6" customFormat="1">
      <c r="A428" s="216" t="s">
        <v>190</v>
      </c>
      <c r="B428" s="209" t="s">
        <v>134</v>
      </c>
      <c r="C428" s="247">
        <v>10</v>
      </c>
      <c r="D428" s="209" t="s">
        <v>193</v>
      </c>
      <c r="E428" s="247">
        <v>7950000</v>
      </c>
      <c r="F428" s="207"/>
      <c r="G428" s="113"/>
      <c r="H428" s="125"/>
      <c r="I428" s="125"/>
      <c r="J428" s="125"/>
      <c r="K428" s="125"/>
      <c r="L428" s="125"/>
      <c r="M428" s="125"/>
      <c r="N428" s="125"/>
      <c r="O428" s="125">
        <f>O429</f>
        <v>1500</v>
      </c>
      <c r="P428" s="126">
        <f>P429</f>
        <v>0</v>
      </c>
      <c r="Q428" s="126">
        <f>Q429</f>
        <v>0</v>
      </c>
      <c r="R428" s="127"/>
      <c r="S428" s="127"/>
      <c r="T428" s="128">
        <f>T429</f>
        <v>900</v>
      </c>
    </row>
    <row r="429" spans="1:20">
      <c r="A429" s="219" t="s">
        <v>458</v>
      </c>
      <c r="B429" s="211" t="s">
        <v>134</v>
      </c>
      <c r="C429" s="246">
        <v>10</v>
      </c>
      <c r="D429" s="211" t="s">
        <v>193</v>
      </c>
      <c r="E429" s="246">
        <v>7950000</v>
      </c>
      <c r="F429" s="212" t="s">
        <v>457</v>
      </c>
      <c r="G429" s="117"/>
      <c r="H429" s="121"/>
      <c r="I429" s="121"/>
      <c r="J429" s="121"/>
      <c r="K429" s="121"/>
      <c r="L429" s="121"/>
      <c r="M429" s="121"/>
      <c r="N429" s="121"/>
      <c r="O429" s="121">
        <v>1500</v>
      </c>
      <c r="P429" s="122"/>
      <c r="Q429" s="122"/>
      <c r="R429" s="123"/>
      <c r="S429" s="123"/>
      <c r="T429" s="124">
        <v>900</v>
      </c>
    </row>
    <row r="430" spans="1:20">
      <c r="A430" s="208" t="s">
        <v>339</v>
      </c>
      <c r="B430" s="209"/>
      <c r="C430" s="209">
        <v>10</v>
      </c>
      <c r="D430" s="209" t="s">
        <v>145</v>
      </c>
      <c r="E430" s="209"/>
      <c r="F430" s="207"/>
      <c r="G430" s="113">
        <f>G439+G444+G447+G449+G452+G454+G456+G442+G431+G434</f>
        <v>47431.7</v>
      </c>
      <c r="H430" s="113">
        <f t="shared" ref="H430:T430" si="100">H439+H444+H447+H449+H452+H454+H456+H442+H431+H434</f>
        <v>0</v>
      </c>
      <c r="I430" s="113">
        <f t="shared" si="100"/>
        <v>0</v>
      </c>
      <c r="J430" s="113">
        <f t="shared" si="100"/>
        <v>16551.732</v>
      </c>
      <c r="K430" s="113">
        <f t="shared" si="100"/>
        <v>0</v>
      </c>
      <c r="L430" s="113">
        <f t="shared" si="100"/>
        <v>0</v>
      </c>
      <c r="M430" s="113">
        <f t="shared" si="100"/>
        <v>0</v>
      </c>
      <c r="N430" s="113">
        <f t="shared" si="100"/>
        <v>111668.61600000001</v>
      </c>
      <c r="O430" s="113">
        <f t="shared" si="100"/>
        <v>0</v>
      </c>
      <c r="P430" s="114">
        <f t="shared" si="100"/>
        <v>2113.4</v>
      </c>
      <c r="Q430" s="114">
        <f t="shared" si="100"/>
        <v>0</v>
      </c>
      <c r="R430" s="113">
        <f>R439+R444+R447+R449+R452+R454+R456+R442+R431+R434</f>
        <v>1382.0391000000004</v>
      </c>
      <c r="S430" s="115"/>
      <c r="T430" s="116">
        <f t="shared" si="100"/>
        <v>128158.17145000001</v>
      </c>
    </row>
    <row r="431" spans="1:20" ht="33.75">
      <c r="A431" s="208" t="s">
        <v>340</v>
      </c>
      <c r="B431" s="209" t="s">
        <v>134</v>
      </c>
      <c r="C431" s="209" t="s">
        <v>341</v>
      </c>
      <c r="D431" s="209" t="s">
        <v>145</v>
      </c>
      <c r="E431" s="209" t="s">
        <v>342</v>
      </c>
      <c r="F431" s="207"/>
      <c r="G431" s="113">
        <f>G433+G432</f>
        <v>0</v>
      </c>
      <c r="H431" s="113">
        <f t="shared" ref="H431:T431" si="101">H433+H432</f>
        <v>0</v>
      </c>
      <c r="I431" s="113">
        <f t="shared" si="101"/>
        <v>0</v>
      </c>
      <c r="J431" s="113">
        <f t="shared" si="101"/>
        <v>470</v>
      </c>
      <c r="K431" s="113">
        <f t="shared" si="101"/>
        <v>0</v>
      </c>
      <c r="L431" s="113">
        <f t="shared" si="101"/>
        <v>0</v>
      </c>
      <c r="M431" s="113">
        <f t="shared" si="101"/>
        <v>0</v>
      </c>
      <c r="N431" s="113">
        <f>N432+N433</f>
        <v>-338.976</v>
      </c>
      <c r="O431" s="113">
        <f>O432+O433</f>
        <v>0</v>
      </c>
      <c r="P431" s="114">
        <f>P432+P433</f>
        <v>0</v>
      </c>
      <c r="Q431" s="114">
        <f>Q432+Q433</f>
        <v>0</v>
      </c>
      <c r="R431" s="115">
        <f>R433</f>
        <v>390</v>
      </c>
      <c r="S431" s="115"/>
      <c r="T431" s="116">
        <f t="shared" si="101"/>
        <v>493.47757000000001</v>
      </c>
    </row>
    <row r="432" spans="1:20">
      <c r="A432" s="214" t="s">
        <v>151</v>
      </c>
      <c r="B432" s="211" t="s">
        <v>134</v>
      </c>
      <c r="C432" s="211" t="s">
        <v>341</v>
      </c>
      <c r="D432" s="211" t="s">
        <v>145</v>
      </c>
      <c r="E432" s="211" t="s">
        <v>342</v>
      </c>
      <c r="F432" s="212" t="s">
        <v>152</v>
      </c>
      <c r="G432" s="113"/>
      <c r="H432" s="113"/>
      <c r="I432" s="113"/>
      <c r="J432" s="113"/>
      <c r="K432" s="113"/>
      <c r="L432" s="113"/>
      <c r="M432" s="117">
        <v>7.8650000000000002</v>
      </c>
      <c r="N432" s="117"/>
      <c r="O432" s="117"/>
      <c r="P432" s="118"/>
      <c r="Q432" s="118"/>
      <c r="R432" s="119"/>
      <c r="S432" s="119"/>
      <c r="T432" s="120">
        <v>0.68340000000000001</v>
      </c>
    </row>
    <row r="433" spans="1:21" ht="22.5">
      <c r="A433" s="214" t="s">
        <v>334</v>
      </c>
      <c r="B433" s="211" t="s">
        <v>134</v>
      </c>
      <c r="C433" s="211" t="s">
        <v>341</v>
      </c>
      <c r="D433" s="211" t="s">
        <v>145</v>
      </c>
      <c r="E433" s="211" t="s">
        <v>342</v>
      </c>
      <c r="F433" s="212" t="s">
        <v>338</v>
      </c>
      <c r="G433" s="117"/>
      <c r="H433" s="117"/>
      <c r="I433" s="117"/>
      <c r="J433" s="117">
        <v>470</v>
      </c>
      <c r="K433" s="117"/>
      <c r="L433" s="117"/>
      <c r="M433" s="117">
        <v>-7.8650000000000002</v>
      </c>
      <c r="N433" s="117">
        <v>-338.976</v>
      </c>
      <c r="O433" s="117"/>
      <c r="P433" s="118"/>
      <c r="Q433" s="118"/>
      <c r="R433" s="119">
        <v>390</v>
      </c>
      <c r="S433" s="119"/>
      <c r="T433" s="120">
        <v>492.79417000000001</v>
      </c>
    </row>
    <row r="434" spans="1:21" s="12" customFormat="1" ht="22.5">
      <c r="A434" s="248" t="s">
        <v>441</v>
      </c>
      <c r="B434" s="207" t="s">
        <v>134</v>
      </c>
      <c r="C434" s="207" t="s">
        <v>341</v>
      </c>
      <c r="D434" s="207" t="s">
        <v>145</v>
      </c>
      <c r="E434" s="207" t="s">
        <v>440</v>
      </c>
      <c r="F434" s="207"/>
      <c r="G434" s="113">
        <f>G435+G436+G437+G438</f>
        <v>0</v>
      </c>
      <c r="H434" s="113">
        <f t="shared" ref="H434:Q434" si="102">H435+H436+H437+H438</f>
        <v>0</v>
      </c>
      <c r="I434" s="113">
        <f t="shared" si="102"/>
        <v>0</v>
      </c>
      <c r="J434" s="113">
        <f t="shared" si="102"/>
        <v>0</v>
      </c>
      <c r="K434" s="113">
        <f t="shared" si="102"/>
        <v>0</v>
      </c>
      <c r="L434" s="113">
        <f t="shared" si="102"/>
        <v>0</v>
      </c>
      <c r="M434" s="113">
        <f t="shared" si="102"/>
        <v>0</v>
      </c>
      <c r="N434" s="113">
        <f t="shared" si="102"/>
        <v>0</v>
      </c>
      <c r="O434" s="113">
        <f t="shared" si="102"/>
        <v>0</v>
      </c>
      <c r="P434" s="114">
        <f t="shared" si="102"/>
        <v>2113.4</v>
      </c>
      <c r="Q434" s="114">
        <f t="shared" si="102"/>
        <v>0</v>
      </c>
      <c r="R434" s="115"/>
      <c r="S434" s="115"/>
      <c r="T434" s="116">
        <f>T435+T436+T437+T438</f>
        <v>1411.0038300000001</v>
      </c>
    </row>
    <row r="435" spans="1:21">
      <c r="A435" s="239" t="s">
        <v>139</v>
      </c>
      <c r="B435" s="211" t="s">
        <v>134</v>
      </c>
      <c r="C435" s="211" t="s">
        <v>341</v>
      </c>
      <c r="D435" s="211" t="s">
        <v>145</v>
      </c>
      <c r="E435" s="211" t="s">
        <v>440</v>
      </c>
      <c r="F435" s="212" t="s">
        <v>141</v>
      </c>
      <c r="G435" s="117"/>
      <c r="H435" s="117"/>
      <c r="I435" s="117"/>
      <c r="J435" s="117"/>
      <c r="K435" s="117"/>
      <c r="L435" s="117"/>
      <c r="M435" s="117"/>
      <c r="N435" s="117"/>
      <c r="O435" s="117"/>
      <c r="P435" s="118">
        <v>1730</v>
      </c>
      <c r="Q435" s="118"/>
      <c r="R435" s="119"/>
      <c r="S435" s="119"/>
      <c r="T435" s="120">
        <v>1028.77657</v>
      </c>
    </row>
    <row r="436" spans="1:21">
      <c r="A436" s="217" t="s">
        <v>142</v>
      </c>
      <c r="B436" s="211" t="s">
        <v>134</v>
      </c>
      <c r="C436" s="211" t="s">
        <v>341</v>
      </c>
      <c r="D436" s="211" t="s">
        <v>145</v>
      </c>
      <c r="E436" s="211" t="s">
        <v>440</v>
      </c>
      <c r="F436" s="212" t="s">
        <v>143</v>
      </c>
      <c r="G436" s="117"/>
      <c r="H436" s="117"/>
      <c r="I436" s="117"/>
      <c r="J436" s="117"/>
      <c r="K436" s="117"/>
      <c r="L436" s="117"/>
      <c r="M436" s="117"/>
      <c r="N436" s="117"/>
      <c r="O436" s="117"/>
      <c r="P436" s="118">
        <v>2.5499999999999998</v>
      </c>
      <c r="Q436" s="118">
        <f>0.25+0.35</f>
        <v>0.6</v>
      </c>
      <c r="R436" s="119"/>
      <c r="S436" s="119">
        <v>1.75</v>
      </c>
      <c r="T436" s="120">
        <v>4.9000000000000004</v>
      </c>
    </row>
    <row r="437" spans="1:21" ht="22.5">
      <c r="A437" s="214" t="s">
        <v>149</v>
      </c>
      <c r="B437" s="211" t="s">
        <v>134</v>
      </c>
      <c r="C437" s="211" t="s">
        <v>341</v>
      </c>
      <c r="D437" s="211" t="s">
        <v>145</v>
      </c>
      <c r="E437" s="211" t="s">
        <v>440</v>
      </c>
      <c r="F437" s="212" t="s">
        <v>150</v>
      </c>
      <c r="G437" s="117"/>
      <c r="H437" s="117"/>
      <c r="I437" s="117"/>
      <c r="J437" s="117"/>
      <c r="K437" s="117"/>
      <c r="L437" s="117"/>
      <c r="M437" s="117"/>
      <c r="N437" s="117"/>
      <c r="O437" s="117"/>
      <c r="P437" s="118">
        <v>40</v>
      </c>
      <c r="Q437" s="118"/>
      <c r="R437" s="119"/>
      <c r="S437" s="119"/>
      <c r="T437" s="120">
        <v>40</v>
      </c>
    </row>
    <row r="438" spans="1:21">
      <c r="A438" s="214" t="s">
        <v>151</v>
      </c>
      <c r="B438" s="211" t="s">
        <v>134</v>
      </c>
      <c r="C438" s="211" t="s">
        <v>341</v>
      </c>
      <c r="D438" s="211" t="s">
        <v>145</v>
      </c>
      <c r="E438" s="211" t="s">
        <v>440</v>
      </c>
      <c r="F438" s="212" t="s">
        <v>152</v>
      </c>
      <c r="G438" s="117"/>
      <c r="H438" s="117"/>
      <c r="I438" s="117"/>
      <c r="J438" s="117"/>
      <c r="K438" s="117"/>
      <c r="L438" s="117"/>
      <c r="M438" s="117"/>
      <c r="N438" s="117"/>
      <c r="O438" s="117"/>
      <c r="P438" s="118">
        <v>340.85</v>
      </c>
      <c r="Q438" s="118">
        <f>-0.25-0.35</f>
        <v>-0.6</v>
      </c>
      <c r="R438" s="119"/>
      <c r="S438" s="119">
        <v>-1.75</v>
      </c>
      <c r="T438" s="120">
        <v>337.32726000000002</v>
      </c>
    </row>
    <row r="439" spans="1:21" s="7" customFormat="1" ht="33.75">
      <c r="A439" s="208" t="s">
        <v>340</v>
      </c>
      <c r="B439" s="209" t="s">
        <v>134</v>
      </c>
      <c r="C439" s="209">
        <v>10</v>
      </c>
      <c r="D439" s="209" t="s">
        <v>145</v>
      </c>
      <c r="E439" s="209" t="s">
        <v>343</v>
      </c>
      <c r="F439" s="207"/>
      <c r="G439" s="113">
        <f t="shared" ref="G439:T439" si="103">G440+G441</f>
        <v>860</v>
      </c>
      <c r="H439" s="113">
        <f t="shared" si="103"/>
        <v>0</v>
      </c>
      <c r="I439" s="113">
        <f t="shared" si="103"/>
        <v>0</v>
      </c>
      <c r="J439" s="113">
        <f t="shared" si="103"/>
        <v>-470</v>
      </c>
      <c r="K439" s="113">
        <f t="shared" si="103"/>
        <v>0</v>
      </c>
      <c r="L439" s="113">
        <f t="shared" si="103"/>
        <v>0</v>
      </c>
      <c r="M439" s="113">
        <f t="shared" si="103"/>
        <v>0</v>
      </c>
      <c r="N439" s="113">
        <f t="shared" si="103"/>
        <v>0</v>
      </c>
      <c r="O439" s="113">
        <f t="shared" si="103"/>
        <v>0</v>
      </c>
      <c r="P439" s="114">
        <f t="shared" si="103"/>
        <v>0</v>
      </c>
      <c r="Q439" s="114">
        <f t="shared" si="103"/>
        <v>0</v>
      </c>
      <c r="R439" s="115">
        <f>R440</f>
        <v>-390</v>
      </c>
      <c r="S439" s="115"/>
      <c r="T439" s="116">
        <f t="shared" si="103"/>
        <v>-1.3322676295501878E-14</v>
      </c>
    </row>
    <row r="440" spans="1:21" ht="22.5">
      <c r="A440" s="214" t="s">
        <v>334</v>
      </c>
      <c r="B440" s="211" t="s">
        <v>134</v>
      </c>
      <c r="C440" s="211">
        <v>10</v>
      </c>
      <c r="D440" s="211" t="s">
        <v>145</v>
      </c>
      <c r="E440" s="211" t="s">
        <v>343</v>
      </c>
      <c r="F440" s="212" t="s">
        <v>338</v>
      </c>
      <c r="G440" s="117">
        <v>845.4</v>
      </c>
      <c r="H440" s="121"/>
      <c r="I440" s="121"/>
      <c r="J440" s="121">
        <v>-470</v>
      </c>
      <c r="K440" s="121"/>
      <c r="L440" s="121"/>
      <c r="M440" s="121">
        <v>7.8650000000000002</v>
      </c>
      <c r="N440" s="121"/>
      <c r="O440" s="121"/>
      <c r="P440" s="122"/>
      <c r="Q440" s="122"/>
      <c r="R440" s="123">
        <v>-390</v>
      </c>
      <c r="S440" s="123">
        <v>6.7350000000000003</v>
      </c>
      <c r="T440" s="124">
        <f>G440+H440+I440+J440+M440+R440+S440</f>
        <v>-1.3322676295501878E-14</v>
      </c>
    </row>
    <row r="441" spans="1:21">
      <c r="A441" s="214" t="s">
        <v>151</v>
      </c>
      <c r="B441" s="211" t="s">
        <v>134</v>
      </c>
      <c r="C441" s="211">
        <v>10</v>
      </c>
      <c r="D441" s="211" t="s">
        <v>145</v>
      </c>
      <c r="E441" s="211" t="s">
        <v>343</v>
      </c>
      <c r="F441" s="212" t="s">
        <v>152</v>
      </c>
      <c r="G441" s="117">
        <v>14.6</v>
      </c>
      <c r="H441" s="121"/>
      <c r="I441" s="121"/>
      <c r="J441" s="121"/>
      <c r="K441" s="121"/>
      <c r="L441" s="121"/>
      <c r="M441" s="121">
        <v>-7.8650000000000002</v>
      </c>
      <c r="N441" s="121"/>
      <c r="O441" s="121"/>
      <c r="P441" s="122"/>
      <c r="Q441" s="122"/>
      <c r="R441" s="123"/>
      <c r="S441" s="123">
        <v>-6.7350000000000003</v>
      </c>
      <c r="T441" s="124">
        <f>G441+H441+I441+J441+M441+S441</f>
        <v>0</v>
      </c>
    </row>
    <row r="442" spans="1:21" s="13" customFormat="1" ht="22.5">
      <c r="A442" s="208" t="s">
        <v>344</v>
      </c>
      <c r="B442" s="209" t="s">
        <v>134</v>
      </c>
      <c r="C442" s="247">
        <v>10</v>
      </c>
      <c r="D442" s="209" t="s">
        <v>145</v>
      </c>
      <c r="E442" s="247">
        <v>6205110</v>
      </c>
      <c r="F442" s="207"/>
      <c r="G442" s="129">
        <f t="shared" ref="G442:T442" si="104">G443</f>
        <v>7642.5</v>
      </c>
      <c r="H442" s="129">
        <f t="shared" si="104"/>
        <v>0</v>
      </c>
      <c r="I442" s="129">
        <f t="shared" si="104"/>
        <v>0</v>
      </c>
      <c r="J442" s="129">
        <f t="shared" si="104"/>
        <v>17558.232</v>
      </c>
      <c r="K442" s="129">
        <f t="shared" si="104"/>
        <v>0</v>
      </c>
      <c r="L442" s="129">
        <f t="shared" si="104"/>
        <v>0</v>
      </c>
      <c r="M442" s="129">
        <f t="shared" si="104"/>
        <v>0</v>
      </c>
      <c r="N442" s="129">
        <f>N443</f>
        <v>109349.66800000001</v>
      </c>
      <c r="O442" s="129">
        <f>O443</f>
        <v>0</v>
      </c>
      <c r="P442" s="130">
        <f>P443</f>
        <v>0</v>
      </c>
      <c r="Q442" s="130">
        <f>Q443</f>
        <v>0</v>
      </c>
      <c r="R442" s="142"/>
      <c r="S442" s="142"/>
      <c r="T442" s="131">
        <f t="shared" si="104"/>
        <v>84952.803199999995</v>
      </c>
    </row>
    <row r="443" spans="1:21" s="5" customFormat="1" ht="22.5">
      <c r="A443" s="214" t="s">
        <v>345</v>
      </c>
      <c r="B443" s="211" t="s">
        <v>134</v>
      </c>
      <c r="C443" s="246">
        <v>10</v>
      </c>
      <c r="D443" s="211" t="s">
        <v>145</v>
      </c>
      <c r="E443" s="246">
        <v>6205110</v>
      </c>
      <c r="F443" s="212" t="s">
        <v>346</v>
      </c>
      <c r="G443" s="143">
        <v>7642.5</v>
      </c>
      <c r="H443" s="121"/>
      <c r="I443" s="121"/>
      <c r="J443" s="121">
        <v>17558.232</v>
      </c>
      <c r="K443" s="121"/>
      <c r="L443" s="121"/>
      <c r="M443" s="121"/>
      <c r="N443" s="121">
        <f>92289.666+17060.002</f>
        <v>109349.66800000001</v>
      </c>
      <c r="O443" s="121"/>
      <c r="P443" s="122"/>
      <c r="Q443" s="122"/>
      <c r="R443" s="123"/>
      <c r="S443" s="123"/>
      <c r="T443" s="124">
        <v>84952.803199999995</v>
      </c>
    </row>
    <row r="444" spans="1:21" s="7" customFormat="1" ht="45">
      <c r="A444" s="208" t="s">
        <v>347</v>
      </c>
      <c r="B444" s="209" t="s">
        <v>134</v>
      </c>
      <c r="C444" s="209">
        <v>10</v>
      </c>
      <c r="D444" s="209" t="s">
        <v>145</v>
      </c>
      <c r="E444" s="209" t="s">
        <v>348</v>
      </c>
      <c r="F444" s="207"/>
      <c r="G444" s="113">
        <f t="shared" ref="G444:T444" si="105">G445+G446</f>
        <v>675</v>
      </c>
      <c r="H444" s="113">
        <f t="shared" si="105"/>
        <v>0</v>
      </c>
      <c r="I444" s="113">
        <f t="shared" si="105"/>
        <v>230</v>
      </c>
      <c r="J444" s="113">
        <f t="shared" si="105"/>
        <v>0</v>
      </c>
      <c r="K444" s="113">
        <f t="shared" si="105"/>
        <v>0</v>
      </c>
      <c r="L444" s="113">
        <f t="shared" si="105"/>
        <v>0</v>
      </c>
      <c r="M444" s="113">
        <f t="shared" si="105"/>
        <v>0</v>
      </c>
      <c r="N444" s="113">
        <f t="shared" si="105"/>
        <v>0</v>
      </c>
      <c r="O444" s="113">
        <f t="shared" si="105"/>
        <v>0</v>
      </c>
      <c r="P444" s="114">
        <f t="shared" si="105"/>
        <v>0</v>
      </c>
      <c r="Q444" s="114">
        <f t="shared" si="105"/>
        <v>0</v>
      </c>
      <c r="R444" s="113">
        <f t="shared" si="105"/>
        <v>-40</v>
      </c>
      <c r="S444" s="115"/>
      <c r="T444" s="116">
        <f t="shared" si="105"/>
        <v>802.76307000000008</v>
      </c>
    </row>
    <row r="445" spans="1:21" ht="22.5">
      <c r="A445" s="214" t="s">
        <v>349</v>
      </c>
      <c r="B445" s="211" t="s">
        <v>134</v>
      </c>
      <c r="C445" s="211">
        <v>10</v>
      </c>
      <c r="D445" s="211" t="s">
        <v>145</v>
      </c>
      <c r="E445" s="211" t="s">
        <v>348</v>
      </c>
      <c r="F445" s="212" t="s">
        <v>350</v>
      </c>
      <c r="G445" s="117">
        <v>667</v>
      </c>
      <c r="H445" s="121"/>
      <c r="I445" s="121">
        <v>227.7</v>
      </c>
      <c r="J445" s="121"/>
      <c r="K445" s="121"/>
      <c r="L445" s="121"/>
      <c r="M445" s="121">
        <f>-5-8-0.2</f>
        <v>-13.2</v>
      </c>
      <c r="N445" s="121"/>
      <c r="O445" s="121"/>
      <c r="P445" s="122"/>
      <c r="Q445" s="122"/>
      <c r="R445" s="123">
        <v>-39.6</v>
      </c>
      <c r="S445" s="123"/>
      <c r="T445" s="124">
        <v>781.93969000000004</v>
      </c>
      <c r="U445" s="8"/>
    </row>
    <row r="446" spans="1:21">
      <c r="A446" s="214" t="s">
        <v>151</v>
      </c>
      <c r="B446" s="211" t="s">
        <v>134</v>
      </c>
      <c r="C446" s="211">
        <v>10</v>
      </c>
      <c r="D446" s="211" t="s">
        <v>145</v>
      </c>
      <c r="E446" s="211" t="s">
        <v>348</v>
      </c>
      <c r="F446" s="212" t="s">
        <v>152</v>
      </c>
      <c r="G446" s="117">
        <v>8</v>
      </c>
      <c r="H446" s="121"/>
      <c r="I446" s="121">
        <v>2.2999999999999998</v>
      </c>
      <c r="J446" s="121"/>
      <c r="K446" s="121"/>
      <c r="L446" s="121"/>
      <c r="M446" s="121">
        <f>5+8+0.2</f>
        <v>13.2</v>
      </c>
      <c r="N446" s="121"/>
      <c r="O446" s="121"/>
      <c r="P446" s="122"/>
      <c r="Q446" s="122"/>
      <c r="R446" s="123">
        <v>-0.4</v>
      </c>
      <c r="S446" s="123"/>
      <c r="T446" s="124">
        <v>20.82338</v>
      </c>
    </row>
    <row r="447" spans="1:21" s="7" customFormat="1" ht="45">
      <c r="A447" s="208" t="s">
        <v>347</v>
      </c>
      <c r="B447" s="209" t="s">
        <v>134</v>
      </c>
      <c r="C447" s="209">
        <v>10</v>
      </c>
      <c r="D447" s="209" t="s">
        <v>145</v>
      </c>
      <c r="E447" s="209" t="s">
        <v>348</v>
      </c>
      <c r="F447" s="207"/>
      <c r="G447" s="113">
        <f t="shared" ref="G447:T447" si="106">G448</f>
        <v>9307.6</v>
      </c>
      <c r="H447" s="113">
        <f t="shared" si="106"/>
        <v>0</v>
      </c>
      <c r="I447" s="113">
        <f t="shared" si="106"/>
        <v>-230</v>
      </c>
      <c r="J447" s="113">
        <f t="shared" si="106"/>
        <v>0</v>
      </c>
      <c r="K447" s="113">
        <f t="shared" si="106"/>
        <v>0</v>
      </c>
      <c r="L447" s="113">
        <f t="shared" si="106"/>
        <v>0</v>
      </c>
      <c r="M447" s="113">
        <f t="shared" si="106"/>
        <v>0</v>
      </c>
      <c r="N447" s="113">
        <f t="shared" si="106"/>
        <v>0</v>
      </c>
      <c r="O447" s="113">
        <f t="shared" si="106"/>
        <v>0</v>
      </c>
      <c r="P447" s="114">
        <f t="shared" si="106"/>
        <v>0</v>
      </c>
      <c r="Q447" s="114">
        <f t="shared" si="106"/>
        <v>0</v>
      </c>
      <c r="R447" s="115">
        <f>R448</f>
        <v>-502.4649</v>
      </c>
      <c r="S447" s="115"/>
      <c r="T447" s="116">
        <f t="shared" si="106"/>
        <v>8247.3369899999998</v>
      </c>
    </row>
    <row r="448" spans="1:21">
      <c r="A448" s="213" t="s">
        <v>180</v>
      </c>
      <c r="B448" s="211" t="s">
        <v>134</v>
      </c>
      <c r="C448" s="211">
        <v>10</v>
      </c>
      <c r="D448" s="211" t="s">
        <v>145</v>
      </c>
      <c r="E448" s="211" t="s">
        <v>348</v>
      </c>
      <c r="F448" s="212" t="s">
        <v>181</v>
      </c>
      <c r="G448" s="117">
        <v>9307.6</v>
      </c>
      <c r="H448" s="121"/>
      <c r="I448" s="121">
        <v>-230</v>
      </c>
      <c r="J448" s="121"/>
      <c r="K448" s="121"/>
      <c r="L448" s="121"/>
      <c r="M448" s="121"/>
      <c r="N448" s="121"/>
      <c r="O448" s="121"/>
      <c r="P448" s="122"/>
      <c r="Q448" s="122"/>
      <c r="R448" s="123">
        <v>-502.4649</v>
      </c>
      <c r="S448" s="123"/>
      <c r="T448" s="124">
        <v>8247.3369899999998</v>
      </c>
    </row>
    <row r="449" spans="1:20" s="7" customFormat="1">
      <c r="A449" s="208" t="s">
        <v>351</v>
      </c>
      <c r="B449" s="209" t="s">
        <v>134</v>
      </c>
      <c r="C449" s="209">
        <v>10</v>
      </c>
      <c r="D449" s="209" t="s">
        <v>145</v>
      </c>
      <c r="E449" s="209" t="s">
        <v>352</v>
      </c>
      <c r="F449" s="207"/>
      <c r="G449" s="113">
        <f t="shared" ref="G449:M449" si="107">G451+G450</f>
        <v>25779</v>
      </c>
      <c r="H449" s="113">
        <f t="shared" si="107"/>
        <v>0</v>
      </c>
      <c r="I449" s="113">
        <f t="shared" si="107"/>
        <v>0</v>
      </c>
      <c r="J449" s="113">
        <f t="shared" si="107"/>
        <v>-1341.5</v>
      </c>
      <c r="K449" s="113">
        <f t="shared" si="107"/>
        <v>0</v>
      </c>
      <c r="L449" s="113">
        <f t="shared" si="107"/>
        <v>0</v>
      </c>
      <c r="M449" s="113">
        <f t="shared" si="107"/>
        <v>0</v>
      </c>
      <c r="N449" s="113">
        <f t="shared" ref="N449:S449" si="108">N450+N451</f>
        <v>1004.924</v>
      </c>
      <c r="O449" s="113">
        <f t="shared" si="108"/>
        <v>0</v>
      </c>
      <c r="P449" s="114">
        <f t="shared" si="108"/>
        <v>0</v>
      </c>
      <c r="Q449" s="114">
        <f t="shared" si="108"/>
        <v>0</v>
      </c>
      <c r="R449" s="113">
        <f t="shared" si="108"/>
        <v>1528.7300000000002</v>
      </c>
      <c r="S449" s="113">
        <f t="shared" si="108"/>
        <v>0</v>
      </c>
      <c r="T449" s="116">
        <f>T451+T450</f>
        <v>26971.154000000002</v>
      </c>
    </row>
    <row r="450" spans="1:20" ht="22.5">
      <c r="A450" s="214" t="s">
        <v>334</v>
      </c>
      <c r="B450" s="211" t="s">
        <v>134</v>
      </c>
      <c r="C450" s="211">
        <v>10</v>
      </c>
      <c r="D450" s="211" t="s">
        <v>145</v>
      </c>
      <c r="E450" s="211" t="s">
        <v>352</v>
      </c>
      <c r="F450" s="212" t="s">
        <v>338</v>
      </c>
      <c r="G450" s="117">
        <v>25341</v>
      </c>
      <c r="H450" s="121"/>
      <c r="I450" s="121"/>
      <c r="J450" s="121">
        <f>-2326.21203+984.71203</f>
        <v>-1341.5</v>
      </c>
      <c r="K450" s="121"/>
      <c r="L450" s="121"/>
      <c r="M450" s="121">
        <v>23.2</v>
      </c>
      <c r="N450" s="121">
        <v>1004.924</v>
      </c>
      <c r="O450" s="121"/>
      <c r="P450" s="122"/>
      <c r="Q450" s="122"/>
      <c r="R450" s="123">
        <f>519.74159+1000-26.75146</f>
        <v>1492.9901300000001</v>
      </c>
      <c r="S450" s="123"/>
      <c r="T450" s="124">
        <v>26520.614130000002</v>
      </c>
    </row>
    <row r="451" spans="1:20">
      <c r="A451" s="214" t="s">
        <v>151</v>
      </c>
      <c r="B451" s="211" t="s">
        <v>134</v>
      </c>
      <c r="C451" s="211">
        <v>10</v>
      </c>
      <c r="D451" s="211" t="s">
        <v>145</v>
      </c>
      <c r="E451" s="211" t="s">
        <v>352</v>
      </c>
      <c r="F451" s="212" t="s">
        <v>152</v>
      </c>
      <c r="G451" s="117">
        <v>438</v>
      </c>
      <c r="H451" s="121"/>
      <c r="I451" s="121"/>
      <c r="J451" s="121"/>
      <c r="K451" s="121"/>
      <c r="L451" s="121"/>
      <c r="M451" s="121">
        <v>-23.2</v>
      </c>
      <c r="N451" s="121"/>
      <c r="O451" s="121"/>
      <c r="P451" s="122"/>
      <c r="Q451" s="122"/>
      <c r="R451" s="123">
        <f>8.98841+26.75146</f>
        <v>35.739870000000003</v>
      </c>
      <c r="S451" s="123"/>
      <c r="T451" s="124">
        <v>450.53987000000001</v>
      </c>
    </row>
    <row r="452" spans="1:20" s="7" customFormat="1" ht="33.75">
      <c r="A452" s="208" t="s">
        <v>353</v>
      </c>
      <c r="B452" s="209" t="s">
        <v>134</v>
      </c>
      <c r="C452" s="247">
        <v>10</v>
      </c>
      <c r="D452" s="209" t="s">
        <v>145</v>
      </c>
      <c r="E452" s="247">
        <v>6205101</v>
      </c>
      <c r="F452" s="207"/>
      <c r="G452" s="113">
        <f t="shared" ref="G452:T452" si="109">G453</f>
        <v>657</v>
      </c>
      <c r="H452" s="113">
        <f t="shared" si="109"/>
        <v>0</v>
      </c>
      <c r="I452" s="113">
        <f t="shared" si="109"/>
        <v>0</v>
      </c>
      <c r="J452" s="113">
        <f t="shared" si="109"/>
        <v>-6</v>
      </c>
      <c r="K452" s="113">
        <f t="shared" si="109"/>
        <v>0</v>
      </c>
      <c r="L452" s="113">
        <f t="shared" si="109"/>
        <v>0</v>
      </c>
      <c r="M452" s="113">
        <f t="shared" si="109"/>
        <v>0</v>
      </c>
      <c r="N452" s="113">
        <f t="shared" si="109"/>
        <v>0</v>
      </c>
      <c r="O452" s="113">
        <f t="shared" si="109"/>
        <v>0</v>
      </c>
      <c r="P452" s="114">
        <f t="shared" si="109"/>
        <v>0</v>
      </c>
      <c r="Q452" s="114">
        <f t="shared" si="109"/>
        <v>0</v>
      </c>
      <c r="R452" s="115"/>
      <c r="S452" s="115"/>
      <c r="T452" s="116">
        <f t="shared" si="109"/>
        <v>520.66999999999996</v>
      </c>
    </row>
    <row r="453" spans="1:20">
      <c r="A453" s="214" t="s">
        <v>306</v>
      </c>
      <c r="B453" s="211" t="s">
        <v>134</v>
      </c>
      <c r="C453" s="246">
        <v>10</v>
      </c>
      <c r="D453" s="211" t="s">
        <v>145</v>
      </c>
      <c r="E453" s="246">
        <v>6205101</v>
      </c>
      <c r="F453" s="212" t="s">
        <v>307</v>
      </c>
      <c r="G453" s="117">
        <v>657</v>
      </c>
      <c r="H453" s="121"/>
      <c r="I453" s="121"/>
      <c r="J453" s="121">
        <v>-6</v>
      </c>
      <c r="K453" s="121"/>
      <c r="L453" s="121"/>
      <c r="M453" s="121"/>
      <c r="N453" s="121"/>
      <c r="O453" s="121"/>
      <c r="P453" s="122"/>
      <c r="Q453" s="122"/>
      <c r="R453" s="123"/>
      <c r="S453" s="123"/>
      <c r="T453" s="124">
        <v>520.66999999999996</v>
      </c>
    </row>
    <row r="454" spans="1:20" s="7" customFormat="1" ht="22.5">
      <c r="A454" s="208" t="s">
        <v>354</v>
      </c>
      <c r="B454" s="209" t="s">
        <v>134</v>
      </c>
      <c r="C454" s="247">
        <v>10</v>
      </c>
      <c r="D454" s="209" t="s">
        <v>145</v>
      </c>
      <c r="E454" s="247">
        <v>6205102</v>
      </c>
      <c r="F454" s="207"/>
      <c r="G454" s="113">
        <f t="shared" ref="G454:T454" si="110">G455</f>
        <v>1259</v>
      </c>
      <c r="H454" s="113">
        <f t="shared" si="110"/>
        <v>0</v>
      </c>
      <c r="I454" s="113">
        <f t="shared" si="110"/>
        <v>0</v>
      </c>
      <c r="J454" s="113">
        <f t="shared" si="110"/>
        <v>341</v>
      </c>
      <c r="K454" s="113">
        <f t="shared" si="110"/>
        <v>0</v>
      </c>
      <c r="L454" s="113">
        <f t="shared" si="110"/>
        <v>0</v>
      </c>
      <c r="M454" s="113">
        <f t="shared" si="110"/>
        <v>0</v>
      </c>
      <c r="N454" s="113">
        <f>N455</f>
        <v>1653</v>
      </c>
      <c r="O454" s="113">
        <f>O455</f>
        <v>0</v>
      </c>
      <c r="P454" s="114">
        <f>P455</f>
        <v>0</v>
      </c>
      <c r="Q454" s="114">
        <f>Q455</f>
        <v>0</v>
      </c>
      <c r="R454" s="115"/>
      <c r="S454" s="115"/>
      <c r="T454" s="116">
        <f t="shared" si="110"/>
        <v>3189.8912999999998</v>
      </c>
    </row>
    <row r="455" spans="1:20">
      <c r="A455" s="214" t="s">
        <v>306</v>
      </c>
      <c r="B455" s="211" t="s">
        <v>134</v>
      </c>
      <c r="C455" s="246">
        <v>10</v>
      </c>
      <c r="D455" s="211" t="s">
        <v>145</v>
      </c>
      <c r="E455" s="246">
        <v>6205102</v>
      </c>
      <c r="F455" s="212" t="s">
        <v>307</v>
      </c>
      <c r="G455" s="117">
        <v>1259</v>
      </c>
      <c r="H455" s="121"/>
      <c r="I455" s="121"/>
      <c r="J455" s="121">
        <v>341</v>
      </c>
      <c r="K455" s="121"/>
      <c r="L455" s="121"/>
      <c r="M455" s="121"/>
      <c r="N455" s="121">
        <v>1653</v>
      </c>
      <c r="O455" s="121"/>
      <c r="P455" s="122"/>
      <c r="Q455" s="122"/>
      <c r="R455" s="123"/>
      <c r="S455" s="123"/>
      <c r="T455" s="124">
        <v>3189.8912999999998</v>
      </c>
    </row>
    <row r="456" spans="1:20" s="7" customFormat="1" ht="22.5">
      <c r="A456" s="208" t="s">
        <v>355</v>
      </c>
      <c r="B456" s="209" t="s">
        <v>134</v>
      </c>
      <c r="C456" s="247">
        <v>10</v>
      </c>
      <c r="D456" s="209" t="s">
        <v>145</v>
      </c>
      <c r="E456" s="247">
        <v>6205108</v>
      </c>
      <c r="F456" s="207"/>
      <c r="G456" s="113">
        <f t="shared" ref="G456:Q456" si="111">G457+G458+G460</f>
        <v>1251.5999999999999</v>
      </c>
      <c r="H456" s="113">
        <f t="shared" si="111"/>
        <v>0</v>
      </c>
      <c r="I456" s="113">
        <f t="shared" si="111"/>
        <v>0</v>
      </c>
      <c r="J456" s="113">
        <f t="shared" si="111"/>
        <v>0</v>
      </c>
      <c r="K456" s="113">
        <f t="shared" si="111"/>
        <v>0</v>
      </c>
      <c r="L456" s="113">
        <f t="shared" si="111"/>
        <v>0</v>
      </c>
      <c r="M456" s="113">
        <f t="shared" si="111"/>
        <v>0</v>
      </c>
      <c r="N456" s="113">
        <f t="shared" si="111"/>
        <v>0</v>
      </c>
      <c r="O456" s="113">
        <f t="shared" si="111"/>
        <v>0</v>
      </c>
      <c r="P456" s="114">
        <f t="shared" si="111"/>
        <v>0</v>
      </c>
      <c r="Q456" s="114">
        <f t="shared" si="111"/>
        <v>0</v>
      </c>
      <c r="R456" s="115">
        <f>R457+R458+R459+R460</f>
        <v>395.774</v>
      </c>
      <c r="S456" s="115">
        <f>S457+S458+S459+S460</f>
        <v>0</v>
      </c>
      <c r="T456" s="116">
        <f>T457+T458+T460+T459</f>
        <v>1569.07149</v>
      </c>
    </row>
    <row r="457" spans="1:20">
      <c r="A457" s="213" t="s">
        <v>139</v>
      </c>
      <c r="B457" s="211" t="s">
        <v>134</v>
      </c>
      <c r="C457" s="246">
        <v>10</v>
      </c>
      <c r="D457" s="211" t="s">
        <v>145</v>
      </c>
      <c r="E457" s="246">
        <v>6205108</v>
      </c>
      <c r="F457" s="212" t="s">
        <v>141</v>
      </c>
      <c r="G457" s="117">
        <f>826+249.452</f>
        <v>1075.452</v>
      </c>
      <c r="H457" s="121"/>
      <c r="I457" s="121"/>
      <c r="J457" s="121"/>
      <c r="K457" s="121"/>
      <c r="L457" s="121"/>
      <c r="M457" s="121"/>
      <c r="N457" s="121"/>
      <c r="O457" s="121"/>
      <c r="P457" s="122"/>
      <c r="Q457" s="122"/>
      <c r="R457" s="123">
        <v>220</v>
      </c>
      <c r="S457" s="123">
        <v>25.4</v>
      </c>
      <c r="T457" s="124">
        <v>1317.6815300000001</v>
      </c>
    </row>
    <row r="458" spans="1:20">
      <c r="A458" s="214" t="s">
        <v>142</v>
      </c>
      <c r="B458" s="211" t="s">
        <v>134</v>
      </c>
      <c r="C458" s="246">
        <v>10</v>
      </c>
      <c r="D458" s="211" t="s">
        <v>145</v>
      </c>
      <c r="E458" s="246">
        <v>6205108</v>
      </c>
      <c r="F458" s="212" t="s">
        <v>143</v>
      </c>
      <c r="G458" s="117">
        <v>100.85</v>
      </c>
      <c r="H458" s="121"/>
      <c r="I458" s="121"/>
      <c r="J458" s="121"/>
      <c r="K458" s="121"/>
      <c r="L458" s="121"/>
      <c r="M458" s="121"/>
      <c r="N458" s="121"/>
      <c r="O458" s="121"/>
      <c r="P458" s="122"/>
      <c r="Q458" s="122"/>
      <c r="R458" s="123">
        <v>4.9000000000000004</v>
      </c>
      <c r="S458" s="123">
        <v>-25.4</v>
      </c>
      <c r="T458" s="124">
        <v>69.578999999999994</v>
      </c>
    </row>
    <row r="459" spans="1:20">
      <c r="A459" s="214"/>
      <c r="B459" s="211" t="s">
        <v>436</v>
      </c>
      <c r="C459" s="246">
        <v>11</v>
      </c>
      <c r="D459" s="211" t="s">
        <v>145</v>
      </c>
      <c r="E459" s="246">
        <v>6205108</v>
      </c>
      <c r="F459" s="212" t="s">
        <v>150</v>
      </c>
      <c r="G459" s="117"/>
      <c r="H459" s="121"/>
      <c r="I459" s="121"/>
      <c r="J459" s="121"/>
      <c r="K459" s="121"/>
      <c r="L459" s="121"/>
      <c r="M459" s="121"/>
      <c r="N459" s="121"/>
      <c r="O459" s="121"/>
      <c r="P459" s="122"/>
      <c r="Q459" s="122"/>
      <c r="R459" s="123">
        <v>30</v>
      </c>
      <c r="S459" s="123"/>
      <c r="T459" s="124">
        <v>30</v>
      </c>
    </row>
    <row r="460" spans="1:20">
      <c r="A460" s="214" t="s">
        <v>151</v>
      </c>
      <c r="B460" s="211" t="s">
        <v>134</v>
      </c>
      <c r="C460" s="246">
        <v>10</v>
      </c>
      <c r="D460" s="211" t="s">
        <v>145</v>
      </c>
      <c r="E460" s="246">
        <v>6205108</v>
      </c>
      <c r="F460" s="212" t="s">
        <v>152</v>
      </c>
      <c r="G460" s="117">
        <v>75.298000000000002</v>
      </c>
      <c r="H460" s="121"/>
      <c r="I460" s="121"/>
      <c r="J460" s="121"/>
      <c r="K460" s="121"/>
      <c r="L460" s="121"/>
      <c r="M460" s="121"/>
      <c r="N460" s="121"/>
      <c r="O460" s="121"/>
      <c r="P460" s="122"/>
      <c r="Q460" s="122"/>
      <c r="R460" s="123">
        <v>140.874</v>
      </c>
      <c r="S460" s="123"/>
      <c r="T460" s="124">
        <v>151.81095999999999</v>
      </c>
    </row>
    <row r="461" spans="1:20">
      <c r="A461" s="208" t="s">
        <v>356</v>
      </c>
      <c r="B461" s="209"/>
      <c r="C461" s="209">
        <v>10</v>
      </c>
      <c r="D461" s="209" t="s">
        <v>163</v>
      </c>
      <c r="E461" s="209"/>
      <c r="F461" s="207"/>
      <c r="G461" s="113" t="e">
        <f>G466+G471+G462+#REF!</f>
        <v>#REF!</v>
      </c>
      <c r="H461" s="113" t="e">
        <f>H466+H471+H462+#REF!</f>
        <v>#REF!</v>
      </c>
      <c r="I461" s="113" t="e">
        <f>I466+I471+I462+#REF!</f>
        <v>#REF!</v>
      </c>
      <c r="J461" s="113" t="e">
        <f>J466+J471+J462+#REF!</f>
        <v>#REF!</v>
      </c>
      <c r="K461" s="113" t="e">
        <f>K466+K471+K462+#REF!</f>
        <v>#REF!</v>
      </c>
      <c r="L461" s="113" t="e">
        <f>L466+L471+L462+#REF!</f>
        <v>#REF!</v>
      </c>
      <c r="M461" s="113" t="e">
        <f>M466+M471+M462+#REF!</f>
        <v>#REF!</v>
      </c>
      <c r="N461" s="113" t="e">
        <f>N466+N471+N462+#REF!</f>
        <v>#REF!</v>
      </c>
      <c r="O461" s="113" t="e">
        <f>O466+O471+O462+#REF!</f>
        <v>#REF!</v>
      </c>
      <c r="P461" s="114" t="e">
        <f>P466+P471+P462+#REF!</f>
        <v>#REF!</v>
      </c>
      <c r="Q461" s="114" t="e">
        <f>Q466+Q471+Q462+#REF!</f>
        <v>#REF!</v>
      </c>
      <c r="R461" s="113" t="e">
        <f>R466+R471+R462+#REF!</f>
        <v>#REF!</v>
      </c>
      <c r="S461" s="113" t="e">
        <f>S466+S471+S462+#REF!</f>
        <v>#REF!</v>
      </c>
      <c r="T461" s="116">
        <f>T466+T471+T462</f>
        <v>1498.37</v>
      </c>
    </row>
    <row r="462" spans="1:20" s="9" customFormat="1" ht="56.25">
      <c r="A462" s="208" t="s">
        <v>357</v>
      </c>
      <c r="B462" s="209" t="s">
        <v>134</v>
      </c>
      <c r="C462" s="209" t="s">
        <v>341</v>
      </c>
      <c r="D462" s="209" t="s">
        <v>163</v>
      </c>
      <c r="E462" s="209" t="s">
        <v>358</v>
      </c>
      <c r="F462" s="207"/>
      <c r="G462" s="113">
        <f t="shared" ref="G462:T462" si="112">G463+G464+G465</f>
        <v>2113.4</v>
      </c>
      <c r="H462" s="113">
        <f t="shared" si="112"/>
        <v>0</v>
      </c>
      <c r="I462" s="113">
        <f t="shared" si="112"/>
        <v>0</v>
      </c>
      <c r="J462" s="113">
        <f t="shared" si="112"/>
        <v>0</v>
      </c>
      <c r="K462" s="113">
        <f t="shared" si="112"/>
        <v>0</v>
      </c>
      <c r="L462" s="113">
        <f t="shared" si="112"/>
        <v>0</v>
      </c>
      <c r="M462" s="113">
        <f t="shared" si="112"/>
        <v>-2113.4</v>
      </c>
      <c r="N462" s="113">
        <f t="shared" si="112"/>
        <v>0</v>
      </c>
      <c r="O462" s="113">
        <f t="shared" si="112"/>
        <v>0</v>
      </c>
      <c r="P462" s="114">
        <f t="shared" si="112"/>
        <v>0</v>
      </c>
      <c r="Q462" s="114">
        <f t="shared" si="112"/>
        <v>0</v>
      </c>
      <c r="R462" s="115"/>
      <c r="S462" s="115"/>
      <c r="T462" s="116">
        <f t="shared" si="112"/>
        <v>0</v>
      </c>
    </row>
    <row r="463" spans="1:20">
      <c r="A463" s="213" t="s">
        <v>139</v>
      </c>
      <c r="B463" s="211" t="s">
        <v>134</v>
      </c>
      <c r="C463" s="211" t="s">
        <v>341</v>
      </c>
      <c r="D463" s="211" t="s">
        <v>163</v>
      </c>
      <c r="E463" s="211" t="s">
        <v>358</v>
      </c>
      <c r="F463" s="212" t="s">
        <v>141</v>
      </c>
      <c r="G463" s="117">
        <f>1330+400</f>
        <v>1730</v>
      </c>
      <c r="H463" s="121"/>
      <c r="I463" s="121"/>
      <c r="J463" s="121"/>
      <c r="K463" s="121"/>
      <c r="L463" s="121"/>
      <c r="M463" s="121">
        <v>-1730</v>
      </c>
      <c r="N463" s="121"/>
      <c r="O463" s="121"/>
      <c r="P463" s="122"/>
      <c r="Q463" s="122"/>
      <c r="R463" s="123"/>
      <c r="S463" s="123"/>
      <c r="T463" s="124">
        <f>G463+H463+I463+M463</f>
        <v>0</v>
      </c>
    </row>
    <row r="464" spans="1:20">
      <c r="A464" s="214" t="s">
        <v>142</v>
      </c>
      <c r="B464" s="211" t="s">
        <v>134</v>
      </c>
      <c r="C464" s="211" t="s">
        <v>341</v>
      </c>
      <c r="D464" s="211" t="s">
        <v>163</v>
      </c>
      <c r="E464" s="211" t="s">
        <v>358</v>
      </c>
      <c r="F464" s="212" t="s">
        <v>143</v>
      </c>
      <c r="G464" s="117">
        <v>2.5499999999999998</v>
      </c>
      <c r="H464" s="121"/>
      <c r="I464" s="121"/>
      <c r="J464" s="121"/>
      <c r="K464" s="121"/>
      <c r="L464" s="121"/>
      <c r="M464" s="121">
        <v>-2.5499999999999998</v>
      </c>
      <c r="N464" s="121"/>
      <c r="O464" s="121"/>
      <c r="P464" s="122"/>
      <c r="Q464" s="122"/>
      <c r="R464" s="123"/>
      <c r="S464" s="123"/>
      <c r="T464" s="124">
        <f>G464+H464+I464+M464</f>
        <v>0</v>
      </c>
    </row>
    <row r="465" spans="1:20">
      <c r="A465" s="214" t="s">
        <v>151</v>
      </c>
      <c r="B465" s="211" t="s">
        <v>134</v>
      </c>
      <c r="C465" s="211" t="s">
        <v>341</v>
      </c>
      <c r="D465" s="211" t="s">
        <v>163</v>
      </c>
      <c r="E465" s="211" t="s">
        <v>358</v>
      </c>
      <c r="F465" s="212" t="s">
        <v>152</v>
      </c>
      <c r="G465" s="117">
        <v>380.85</v>
      </c>
      <c r="H465" s="121"/>
      <c r="I465" s="121"/>
      <c r="J465" s="121"/>
      <c r="K465" s="121"/>
      <c r="L465" s="121"/>
      <c r="M465" s="121">
        <v>-380.85</v>
      </c>
      <c r="N465" s="121"/>
      <c r="O465" s="121"/>
      <c r="P465" s="122"/>
      <c r="Q465" s="122"/>
      <c r="R465" s="123"/>
      <c r="S465" s="123"/>
      <c r="T465" s="124">
        <f>G465+H465+I465+M465</f>
        <v>0</v>
      </c>
    </row>
    <row r="466" spans="1:20" s="7" customFormat="1" ht="56.25">
      <c r="A466" s="208" t="s">
        <v>359</v>
      </c>
      <c r="B466" s="209" t="s">
        <v>134</v>
      </c>
      <c r="C466" s="209">
        <v>10</v>
      </c>
      <c r="D466" s="209" t="s">
        <v>163</v>
      </c>
      <c r="E466" s="209" t="s">
        <v>360</v>
      </c>
      <c r="F466" s="207"/>
      <c r="G466" s="113">
        <f t="shared" ref="G466:Q466" si="113">G470+G468+G467</f>
        <v>714.4</v>
      </c>
      <c r="H466" s="113">
        <f t="shared" si="113"/>
        <v>0</v>
      </c>
      <c r="I466" s="113">
        <f t="shared" si="113"/>
        <v>0</v>
      </c>
      <c r="J466" s="113">
        <f t="shared" si="113"/>
        <v>0</v>
      </c>
      <c r="K466" s="113">
        <f t="shared" si="113"/>
        <v>0</v>
      </c>
      <c r="L466" s="113">
        <f t="shared" si="113"/>
        <v>0</v>
      </c>
      <c r="M466" s="113">
        <f t="shared" si="113"/>
        <v>0</v>
      </c>
      <c r="N466" s="113">
        <f t="shared" si="113"/>
        <v>0</v>
      </c>
      <c r="O466" s="113">
        <f t="shared" si="113"/>
        <v>0</v>
      </c>
      <c r="P466" s="114">
        <f t="shared" si="113"/>
        <v>37.6</v>
      </c>
      <c r="Q466" s="114">
        <f t="shared" si="113"/>
        <v>0</v>
      </c>
      <c r="R466" s="115"/>
      <c r="S466" s="115">
        <f>S467+S468+S469+S470</f>
        <v>0</v>
      </c>
      <c r="T466" s="116">
        <f>T470+T468+T467+T469</f>
        <v>752</v>
      </c>
    </row>
    <row r="467" spans="1:20">
      <c r="A467" s="213" t="s">
        <v>139</v>
      </c>
      <c r="B467" s="211" t="s">
        <v>134</v>
      </c>
      <c r="C467" s="211">
        <v>10</v>
      </c>
      <c r="D467" s="211" t="s">
        <v>163</v>
      </c>
      <c r="E467" s="211" t="s">
        <v>360</v>
      </c>
      <c r="F467" s="212" t="s">
        <v>141</v>
      </c>
      <c r="G467" s="117">
        <f>430+129.86</f>
        <v>559.86</v>
      </c>
      <c r="H467" s="121"/>
      <c r="I467" s="121"/>
      <c r="J467" s="121"/>
      <c r="K467" s="121"/>
      <c r="L467" s="121"/>
      <c r="M467" s="121"/>
      <c r="N467" s="121"/>
      <c r="O467" s="121"/>
      <c r="P467" s="122">
        <v>37.6</v>
      </c>
      <c r="Q467" s="122"/>
      <c r="R467" s="123"/>
      <c r="S467" s="123">
        <v>21.379249999999999</v>
      </c>
      <c r="T467" s="124">
        <v>618.83924999999999</v>
      </c>
    </row>
    <row r="468" spans="1:20">
      <c r="A468" s="214" t="s">
        <v>142</v>
      </c>
      <c r="B468" s="211" t="s">
        <v>134</v>
      </c>
      <c r="C468" s="211">
        <v>10</v>
      </c>
      <c r="D468" s="211" t="s">
        <v>163</v>
      </c>
      <c r="E468" s="211" t="s">
        <v>360</v>
      </c>
      <c r="F468" s="212" t="s">
        <v>143</v>
      </c>
      <c r="G468" s="117">
        <v>90.85</v>
      </c>
      <c r="H468" s="121"/>
      <c r="I468" s="121"/>
      <c r="J468" s="121"/>
      <c r="K468" s="121"/>
      <c r="L468" s="121"/>
      <c r="M468" s="121"/>
      <c r="N468" s="121"/>
      <c r="O468" s="121"/>
      <c r="P468" s="122"/>
      <c r="Q468" s="122"/>
      <c r="R468" s="123"/>
      <c r="S468" s="123">
        <v>-64.128399999999999</v>
      </c>
      <c r="T468" s="124">
        <v>26.721599999999999</v>
      </c>
    </row>
    <row r="469" spans="1:20">
      <c r="A469" s="214"/>
      <c r="B469" s="211" t="s">
        <v>134</v>
      </c>
      <c r="C469" s="211" t="s">
        <v>341</v>
      </c>
      <c r="D469" s="211" t="s">
        <v>163</v>
      </c>
      <c r="E469" s="211" t="s">
        <v>360</v>
      </c>
      <c r="F469" s="212" t="s">
        <v>150</v>
      </c>
      <c r="G469" s="117"/>
      <c r="H469" s="121"/>
      <c r="I469" s="121"/>
      <c r="J469" s="121"/>
      <c r="K469" s="121"/>
      <c r="L469" s="121"/>
      <c r="M469" s="121"/>
      <c r="N469" s="121"/>
      <c r="O469" s="121"/>
      <c r="P469" s="122"/>
      <c r="Q469" s="122"/>
      <c r="R469" s="123"/>
      <c r="S469" s="123">
        <v>1.49</v>
      </c>
      <c r="T469" s="124">
        <v>1.49</v>
      </c>
    </row>
    <row r="470" spans="1:20">
      <c r="A470" s="214" t="s">
        <v>151</v>
      </c>
      <c r="B470" s="211" t="s">
        <v>134</v>
      </c>
      <c r="C470" s="211">
        <v>10</v>
      </c>
      <c r="D470" s="211" t="s">
        <v>163</v>
      </c>
      <c r="E470" s="211" t="s">
        <v>360</v>
      </c>
      <c r="F470" s="212" t="s">
        <v>152</v>
      </c>
      <c r="G470" s="117">
        <v>63.69</v>
      </c>
      <c r="H470" s="121"/>
      <c r="I470" s="121"/>
      <c r="J470" s="121"/>
      <c r="K470" s="121"/>
      <c r="L470" s="121"/>
      <c r="M470" s="121"/>
      <c r="N470" s="121"/>
      <c r="O470" s="121"/>
      <c r="P470" s="122"/>
      <c r="Q470" s="122"/>
      <c r="R470" s="123"/>
      <c r="S470" s="123">
        <v>41.259149999999998</v>
      </c>
      <c r="T470" s="124">
        <v>104.94915</v>
      </c>
    </row>
    <row r="471" spans="1:20" s="7" customFormat="1" ht="33.75">
      <c r="A471" s="221" t="s">
        <v>361</v>
      </c>
      <c r="B471" s="209" t="s">
        <v>134</v>
      </c>
      <c r="C471" s="209" t="s">
        <v>341</v>
      </c>
      <c r="D471" s="209" t="s">
        <v>163</v>
      </c>
      <c r="E471" s="209" t="s">
        <v>362</v>
      </c>
      <c r="F471" s="207"/>
      <c r="G471" s="113">
        <f t="shared" ref="G471:M471" si="114">G472</f>
        <v>600.4</v>
      </c>
      <c r="H471" s="113">
        <f t="shared" si="114"/>
        <v>0</v>
      </c>
      <c r="I471" s="113">
        <f t="shared" si="114"/>
        <v>0</v>
      </c>
      <c r="J471" s="113">
        <f t="shared" si="114"/>
        <v>0</v>
      </c>
      <c r="K471" s="113">
        <f t="shared" si="114"/>
        <v>0</v>
      </c>
      <c r="L471" s="113">
        <f t="shared" si="114"/>
        <v>0</v>
      </c>
      <c r="M471" s="113">
        <f t="shared" si="114"/>
        <v>0</v>
      </c>
      <c r="N471" s="113">
        <f>N472+N473</f>
        <v>43.5</v>
      </c>
      <c r="O471" s="113">
        <f>O472+O473</f>
        <v>0</v>
      </c>
      <c r="P471" s="114">
        <f>P472+P473</f>
        <v>0</v>
      </c>
      <c r="Q471" s="114">
        <f>Q472+Q473</f>
        <v>0</v>
      </c>
      <c r="R471" s="115">
        <f>R472+R473</f>
        <v>74.37</v>
      </c>
      <c r="S471" s="115"/>
      <c r="T471" s="116">
        <f>T472+T473</f>
        <v>746.37</v>
      </c>
    </row>
    <row r="472" spans="1:20">
      <c r="A472" s="213" t="s">
        <v>139</v>
      </c>
      <c r="B472" s="211" t="s">
        <v>134</v>
      </c>
      <c r="C472" s="211" t="s">
        <v>341</v>
      </c>
      <c r="D472" s="211" t="s">
        <v>163</v>
      </c>
      <c r="E472" s="211" t="s">
        <v>362</v>
      </c>
      <c r="F472" s="212" t="s">
        <v>141</v>
      </c>
      <c r="G472" s="117">
        <f>600.4</f>
        <v>600.4</v>
      </c>
      <c r="H472" s="121"/>
      <c r="I472" s="121"/>
      <c r="J472" s="121"/>
      <c r="K472" s="121"/>
      <c r="L472" s="121"/>
      <c r="M472" s="121"/>
      <c r="N472" s="121"/>
      <c r="O472" s="121"/>
      <c r="P472" s="122"/>
      <c r="Q472" s="122"/>
      <c r="R472" s="123">
        <v>64.87</v>
      </c>
      <c r="S472" s="123"/>
      <c r="T472" s="124">
        <v>693.37</v>
      </c>
    </row>
    <row r="473" spans="1:20">
      <c r="A473" s="249" t="s">
        <v>142</v>
      </c>
      <c r="B473" s="211" t="s">
        <v>134</v>
      </c>
      <c r="C473" s="211" t="s">
        <v>341</v>
      </c>
      <c r="D473" s="211" t="s">
        <v>163</v>
      </c>
      <c r="E473" s="211" t="s">
        <v>362</v>
      </c>
      <c r="F473" s="212" t="s">
        <v>143</v>
      </c>
      <c r="G473" s="117"/>
      <c r="H473" s="121"/>
      <c r="I473" s="121"/>
      <c r="J473" s="121"/>
      <c r="K473" s="121"/>
      <c r="L473" s="121"/>
      <c r="M473" s="121"/>
      <c r="N473" s="121">
        <v>43.5</v>
      </c>
      <c r="O473" s="121"/>
      <c r="P473" s="122"/>
      <c r="Q473" s="122"/>
      <c r="R473" s="123">
        <v>9.5</v>
      </c>
      <c r="S473" s="123"/>
      <c r="T473" s="124">
        <v>53</v>
      </c>
    </row>
    <row r="474" spans="1:20">
      <c r="A474" s="208" t="s">
        <v>363</v>
      </c>
      <c r="B474" s="209"/>
      <c r="C474" s="209" t="s">
        <v>167</v>
      </c>
      <c r="D474" s="209" t="s">
        <v>364</v>
      </c>
      <c r="E474" s="209"/>
      <c r="F474" s="207"/>
      <c r="G474" s="113">
        <f t="shared" ref="G474:Q474" si="115">G475</f>
        <v>4500</v>
      </c>
      <c r="H474" s="113">
        <f t="shared" si="115"/>
        <v>6100</v>
      </c>
      <c r="I474" s="113">
        <f t="shared" si="115"/>
        <v>0</v>
      </c>
      <c r="J474" s="113">
        <f t="shared" si="115"/>
        <v>912</v>
      </c>
      <c r="K474" s="113">
        <f t="shared" si="115"/>
        <v>0</v>
      </c>
      <c r="L474" s="113">
        <f t="shared" si="115"/>
        <v>0</v>
      </c>
      <c r="M474" s="113">
        <f t="shared" si="115"/>
        <v>106</v>
      </c>
      <c r="N474" s="113">
        <f t="shared" si="115"/>
        <v>0</v>
      </c>
      <c r="O474" s="113">
        <f t="shared" si="115"/>
        <v>462.5</v>
      </c>
      <c r="P474" s="114">
        <f t="shared" si="115"/>
        <v>0</v>
      </c>
      <c r="Q474" s="114">
        <f t="shared" si="115"/>
        <v>0</v>
      </c>
      <c r="R474" s="113">
        <f>R475</f>
        <v>2000</v>
      </c>
      <c r="S474" s="115"/>
      <c r="T474" s="116">
        <f>T475</f>
        <v>11985.989149999999</v>
      </c>
    </row>
    <row r="475" spans="1:20" s="6" customFormat="1">
      <c r="A475" s="216" t="s">
        <v>190</v>
      </c>
      <c r="B475" s="209" t="s">
        <v>134</v>
      </c>
      <c r="C475" s="209" t="s">
        <v>167</v>
      </c>
      <c r="D475" s="209" t="s">
        <v>129</v>
      </c>
      <c r="E475" s="209" t="s">
        <v>191</v>
      </c>
      <c r="F475" s="207"/>
      <c r="G475" s="117">
        <f>G478+G479+G476</f>
        <v>4500</v>
      </c>
      <c r="H475" s="117">
        <f t="shared" ref="H475:M475" si="116">H478+H479+H476</f>
        <v>6100</v>
      </c>
      <c r="I475" s="117">
        <f t="shared" si="116"/>
        <v>0</v>
      </c>
      <c r="J475" s="117">
        <f t="shared" si="116"/>
        <v>912</v>
      </c>
      <c r="K475" s="117">
        <f t="shared" si="116"/>
        <v>0</v>
      </c>
      <c r="L475" s="117">
        <f t="shared" si="116"/>
        <v>0</v>
      </c>
      <c r="M475" s="117">
        <f t="shared" si="116"/>
        <v>106</v>
      </c>
      <c r="N475" s="117"/>
      <c r="O475" s="117">
        <f>O477+O478+O476</f>
        <v>462.5</v>
      </c>
      <c r="P475" s="118">
        <f>P477+P478+P476+P479</f>
        <v>0</v>
      </c>
      <c r="Q475" s="118">
        <f>Q477+Q478+Q476</f>
        <v>0</v>
      </c>
      <c r="R475" s="117">
        <f>R477+R478+R476+R479</f>
        <v>2000</v>
      </c>
      <c r="S475" s="119"/>
      <c r="T475" s="116">
        <f>T477+T478+T476+T479</f>
        <v>11985.989149999999</v>
      </c>
    </row>
    <row r="476" spans="1:20">
      <c r="A476" s="214" t="s">
        <v>142</v>
      </c>
      <c r="B476" s="211" t="s">
        <v>134</v>
      </c>
      <c r="C476" s="211" t="s">
        <v>167</v>
      </c>
      <c r="D476" s="211" t="s">
        <v>129</v>
      </c>
      <c r="E476" s="211" t="s">
        <v>191</v>
      </c>
      <c r="F476" s="212" t="s">
        <v>235</v>
      </c>
      <c r="G476" s="117"/>
      <c r="H476" s="117"/>
      <c r="I476" s="117"/>
      <c r="J476" s="117"/>
      <c r="K476" s="117"/>
      <c r="L476" s="117"/>
      <c r="M476" s="117">
        <f>9.45+32.41</f>
        <v>41.86</v>
      </c>
      <c r="N476" s="117"/>
      <c r="O476" s="117">
        <v>29.27</v>
      </c>
      <c r="P476" s="118"/>
      <c r="Q476" s="118">
        <v>20</v>
      </c>
      <c r="R476" s="119"/>
      <c r="S476" s="119"/>
      <c r="T476" s="120">
        <v>91.13</v>
      </c>
    </row>
    <row r="477" spans="1:20">
      <c r="A477" s="214" t="s">
        <v>142</v>
      </c>
      <c r="B477" s="211" t="s">
        <v>134</v>
      </c>
      <c r="C477" s="211" t="s">
        <v>167</v>
      </c>
      <c r="D477" s="211" t="s">
        <v>129</v>
      </c>
      <c r="E477" s="211" t="s">
        <v>191</v>
      </c>
      <c r="F477" s="212" t="s">
        <v>143</v>
      </c>
      <c r="G477" s="117"/>
      <c r="H477" s="117"/>
      <c r="I477" s="117"/>
      <c r="J477" s="117"/>
      <c r="K477" s="117"/>
      <c r="L477" s="117"/>
      <c r="M477" s="117"/>
      <c r="N477" s="117"/>
      <c r="O477" s="117">
        <v>5.25</v>
      </c>
      <c r="P477" s="118"/>
      <c r="Q477" s="118"/>
      <c r="R477" s="119"/>
      <c r="S477" s="119"/>
      <c r="T477" s="120">
        <v>5.25</v>
      </c>
    </row>
    <row r="478" spans="1:20">
      <c r="A478" s="214" t="s">
        <v>151</v>
      </c>
      <c r="B478" s="211" t="s">
        <v>134</v>
      </c>
      <c r="C478" s="211" t="s">
        <v>167</v>
      </c>
      <c r="D478" s="211" t="s">
        <v>129</v>
      </c>
      <c r="E478" s="211" t="s">
        <v>191</v>
      </c>
      <c r="F478" s="212" t="s">
        <v>152</v>
      </c>
      <c r="G478" s="117">
        <v>4500</v>
      </c>
      <c r="H478" s="121">
        <v>6100</v>
      </c>
      <c r="I478" s="121"/>
      <c r="J478" s="121">
        <v>912</v>
      </c>
      <c r="K478" s="121">
        <f>-98.6-85-85</f>
        <v>-268.60000000000002</v>
      </c>
      <c r="L478" s="121"/>
      <c r="M478" s="121">
        <f>-9.45+106-32.41</f>
        <v>64.14</v>
      </c>
      <c r="N478" s="121"/>
      <c r="O478" s="121">
        <f>-29.27-5.25+462.5</f>
        <v>427.98</v>
      </c>
      <c r="P478" s="122"/>
      <c r="Q478" s="122">
        <v>-20</v>
      </c>
      <c r="R478" s="123"/>
      <c r="S478" s="123"/>
      <c r="T478" s="120">
        <v>11621.00915</v>
      </c>
    </row>
    <row r="479" spans="1:20" s="12" customFormat="1">
      <c r="A479" s="250" t="s">
        <v>180</v>
      </c>
      <c r="B479" s="212" t="s">
        <v>134</v>
      </c>
      <c r="C479" s="212" t="s">
        <v>167</v>
      </c>
      <c r="D479" s="212" t="s">
        <v>129</v>
      </c>
      <c r="E479" s="212" t="s">
        <v>191</v>
      </c>
      <c r="F479" s="212" t="s">
        <v>181</v>
      </c>
      <c r="G479" s="117"/>
      <c r="H479" s="121"/>
      <c r="I479" s="121"/>
      <c r="J479" s="121"/>
      <c r="K479" s="121">
        <f>98.6+85+85</f>
        <v>268.60000000000002</v>
      </c>
      <c r="L479" s="121"/>
      <c r="M479" s="121"/>
      <c r="N479" s="121"/>
      <c r="O479" s="121"/>
      <c r="P479" s="122"/>
      <c r="Q479" s="122"/>
      <c r="R479" s="123">
        <v>2000</v>
      </c>
      <c r="S479" s="123"/>
      <c r="T479" s="120">
        <v>268.60000000000002</v>
      </c>
    </row>
    <row r="480" spans="1:20" s="6" customFormat="1">
      <c r="A480" s="235" t="s">
        <v>605</v>
      </c>
      <c r="B480" s="209"/>
      <c r="C480" s="209" t="s">
        <v>173</v>
      </c>
      <c r="D480" s="209"/>
      <c r="E480" s="209"/>
      <c r="F480" s="207"/>
      <c r="G480" s="113"/>
      <c r="H480" s="125"/>
      <c r="I480" s="125"/>
      <c r="J480" s="125"/>
      <c r="K480" s="125"/>
      <c r="L480" s="125"/>
      <c r="M480" s="125"/>
      <c r="N480" s="125"/>
      <c r="O480" s="125"/>
      <c r="P480" s="126">
        <f t="shared" ref="P480:Q482" si="117">P481</f>
        <v>106.22951</v>
      </c>
      <c r="Q480" s="126">
        <f t="shared" si="117"/>
        <v>0</v>
      </c>
      <c r="R480" s="127"/>
      <c r="S480" s="127"/>
      <c r="T480" s="128">
        <f>T481</f>
        <v>106.22951</v>
      </c>
    </row>
    <row r="481" spans="1:20" s="6" customFormat="1" ht="22.5">
      <c r="A481" s="235" t="s">
        <v>606</v>
      </c>
      <c r="B481" s="209" t="s">
        <v>134</v>
      </c>
      <c r="C481" s="209" t="s">
        <v>173</v>
      </c>
      <c r="D481" s="209" t="s">
        <v>129</v>
      </c>
      <c r="E481" s="209"/>
      <c r="F481" s="207"/>
      <c r="G481" s="113"/>
      <c r="H481" s="125"/>
      <c r="I481" s="125"/>
      <c r="J481" s="125"/>
      <c r="K481" s="125"/>
      <c r="L481" s="125"/>
      <c r="M481" s="125"/>
      <c r="N481" s="125"/>
      <c r="O481" s="125"/>
      <c r="P481" s="126">
        <f t="shared" si="117"/>
        <v>106.22951</v>
      </c>
      <c r="Q481" s="126">
        <f t="shared" si="117"/>
        <v>0</v>
      </c>
      <c r="R481" s="127"/>
      <c r="S481" s="127"/>
      <c r="T481" s="128">
        <f>T482</f>
        <v>106.22951</v>
      </c>
    </row>
    <row r="482" spans="1:20">
      <c r="A482" s="229" t="s">
        <v>607</v>
      </c>
      <c r="B482" s="209" t="s">
        <v>134</v>
      </c>
      <c r="C482" s="209" t="s">
        <v>173</v>
      </c>
      <c r="D482" s="209" t="s">
        <v>129</v>
      </c>
      <c r="E482" s="209" t="s">
        <v>608</v>
      </c>
      <c r="F482" s="207"/>
      <c r="G482" s="117"/>
      <c r="H482" s="121"/>
      <c r="I482" s="121"/>
      <c r="J482" s="121"/>
      <c r="K482" s="121"/>
      <c r="L482" s="121"/>
      <c r="M482" s="121"/>
      <c r="N482" s="121"/>
      <c r="O482" s="121"/>
      <c r="P482" s="122">
        <f t="shared" si="117"/>
        <v>106.22951</v>
      </c>
      <c r="Q482" s="122">
        <f t="shared" si="117"/>
        <v>0</v>
      </c>
      <c r="R482" s="123"/>
      <c r="S482" s="123"/>
      <c r="T482" s="124">
        <f>T483</f>
        <v>106.22951</v>
      </c>
    </row>
    <row r="483" spans="1:20">
      <c r="A483" s="239" t="s">
        <v>609</v>
      </c>
      <c r="B483" s="211" t="s">
        <v>134</v>
      </c>
      <c r="C483" s="211" t="s">
        <v>173</v>
      </c>
      <c r="D483" s="211" t="s">
        <v>129</v>
      </c>
      <c r="E483" s="211" t="s">
        <v>608</v>
      </c>
      <c r="F483" s="212" t="s">
        <v>610</v>
      </c>
      <c r="G483" s="117"/>
      <c r="H483" s="121"/>
      <c r="I483" s="121"/>
      <c r="J483" s="121"/>
      <c r="K483" s="121"/>
      <c r="L483" s="121"/>
      <c r="M483" s="121"/>
      <c r="N483" s="121"/>
      <c r="O483" s="121"/>
      <c r="P483" s="122">
        <v>106.22951</v>
      </c>
      <c r="Q483" s="122"/>
      <c r="R483" s="123"/>
      <c r="S483" s="123"/>
      <c r="T483" s="124">
        <v>106.22951</v>
      </c>
    </row>
    <row r="484" spans="1:20">
      <c r="A484" s="208" t="s">
        <v>365</v>
      </c>
      <c r="B484" s="209"/>
      <c r="C484" s="209" t="s">
        <v>366</v>
      </c>
      <c r="D484" s="209"/>
      <c r="E484" s="209"/>
      <c r="F484" s="207"/>
      <c r="G484" s="113">
        <f t="shared" ref="G484:Q484" si="118">G485+G493+G488</f>
        <v>129783</v>
      </c>
      <c r="H484" s="113">
        <f t="shared" si="118"/>
        <v>2456.5</v>
      </c>
      <c r="I484" s="113">
        <f t="shared" si="118"/>
        <v>-750</v>
      </c>
      <c r="J484" s="113">
        <f t="shared" si="118"/>
        <v>0</v>
      </c>
      <c r="K484" s="113">
        <f t="shared" si="118"/>
        <v>0</v>
      </c>
      <c r="L484" s="113">
        <f t="shared" si="118"/>
        <v>0</v>
      </c>
      <c r="M484" s="113">
        <f t="shared" si="118"/>
        <v>0</v>
      </c>
      <c r="N484" s="113">
        <f t="shared" si="118"/>
        <v>0</v>
      </c>
      <c r="O484" s="113">
        <f t="shared" si="118"/>
        <v>0</v>
      </c>
      <c r="P484" s="114">
        <f t="shared" si="118"/>
        <v>405.5</v>
      </c>
      <c r="Q484" s="114">
        <f t="shared" si="118"/>
        <v>200</v>
      </c>
      <c r="R484" s="113">
        <f>R485+R493+R488+R499</f>
        <v>11474.1</v>
      </c>
      <c r="S484" s="115"/>
      <c r="T484" s="116">
        <f>T485+T493+T488</f>
        <v>143569.1</v>
      </c>
    </row>
    <row r="485" spans="1:20" ht="22.5">
      <c r="A485" s="208" t="s">
        <v>367</v>
      </c>
      <c r="B485" s="209" t="s">
        <v>134</v>
      </c>
      <c r="C485" s="209" t="s">
        <v>366</v>
      </c>
      <c r="D485" s="209" t="s">
        <v>129</v>
      </c>
      <c r="E485" s="209"/>
      <c r="F485" s="207"/>
      <c r="G485" s="113">
        <f t="shared" ref="G485:T486" si="119">G486</f>
        <v>128783</v>
      </c>
      <c r="H485" s="113">
        <f t="shared" si="119"/>
        <v>0</v>
      </c>
      <c r="I485" s="113">
        <f t="shared" si="119"/>
        <v>0</v>
      </c>
      <c r="J485" s="113">
        <f t="shared" si="119"/>
        <v>0</v>
      </c>
      <c r="K485" s="113">
        <f t="shared" si="119"/>
        <v>0</v>
      </c>
      <c r="L485" s="113">
        <f t="shared" si="119"/>
        <v>0</v>
      </c>
      <c r="M485" s="113">
        <f t="shared" si="119"/>
        <v>0</v>
      </c>
      <c r="N485" s="113">
        <f t="shared" si="119"/>
        <v>0</v>
      </c>
      <c r="O485" s="113">
        <f t="shared" si="119"/>
        <v>0</v>
      </c>
      <c r="P485" s="114">
        <f t="shared" si="119"/>
        <v>0</v>
      </c>
      <c r="Q485" s="114">
        <f t="shared" si="119"/>
        <v>0</v>
      </c>
      <c r="R485" s="115"/>
      <c r="S485" s="115"/>
      <c r="T485" s="116">
        <f t="shared" si="119"/>
        <v>128783</v>
      </c>
    </row>
    <row r="486" spans="1:20" s="7" customFormat="1" ht="22.5">
      <c r="A486" s="251" t="s">
        <v>368</v>
      </c>
      <c r="B486" s="209" t="s">
        <v>134</v>
      </c>
      <c r="C486" s="209" t="s">
        <v>366</v>
      </c>
      <c r="D486" s="209" t="s">
        <v>129</v>
      </c>
      <c r="E486" s="209" t="s">
        <v>369</v>
      </c>
      <c r="F486" s="207"/>
      <c r="G486" s="113">
        <f t="shared" si="119"/>
        <v>128783</v>
      </c>
      <c r="H486" s="113">
        <f t="shared" si="119"/>
        <v>0</v>
      </c>
      <c r="I486" s="113">
        <f t="shared" si="119"/>
        <v>0</v>
      </c>
      <c r="J486" s="113">
        <f t="shared" si="119"/>
        <v>0</v>
      </c>
      <c r="K486" s="113">
        <f t="shared" si="119"/>
        <v>0</v>
      </c>
      <c r="L486" s="113">
        <f t="shared" si="119"/>
        <v>0</v>
      </c>
      <c r="M486" s="113">
        <f t="shared" si="119"/>
        <v>0</v>
      </c>
      <c r="N486" s="113">
        <f t="shared" si="119"/>
        <v>0</v>
      </c>
      <c r="O486" s="113">
        <f t="shared" si="119"/>
        <v>0</v>
      </c>
      <c r="P486" s="114">
        <f t="shared" si="119"/>
        <v>0</v>
      </c>
      <c r="Q486" s="114">
        <f t="shared" si="119"/>
        <v>0</v>
      </c>
      <c r="R486" s="115"/>
      <c r="S486" s="115"/>
      <c r="T486" s="116">
        <f t="shared" si="119"/>
        <v>128783</v>
      </c>
    </row>
    <row r="487" spans="1:20" ht="24" customHeight="1">
      <c r="A487" s="214" t="s">
        <v>370</v>
      </c>
      <c r="B487" s="211" t="s">
        <v>134</v>
      </c>
      <c r="C487" s="211" t="s">
        <v>366</v>
      </c>
      <c r="D487" s="211" t="s">
        <v>129</v>
      </c>
      <c r="E487" s="211" t="s">
        <v>369</v>
      </c>
      <c r="F487" s="212" t="s">
        <v>371</v>
      </c>
      <c r="G487" s="117">
        <v>128783</v>
      </c>
      <c r="H487" s="121"/>
      <c r="I487" s="121"/>
      <c r="J487" s="121"/>
      <c r="K487" s="121"/>
      <c r="L487" s="121"/>
      <c r="M487" s="121"/>
      <c r="N487" s="121"/>
      <c r="O487" s="121"/>
      <c r="P487" s="122"/>
      <c r="Q487" s="122"/>
      <c r="R487" s="123"/>
      <c r="S487" s="123"/>
      <c r="T487" s="124">
        <v>128783</v>
      </c>
    </row>
    <row r="488" spans="1:20" s="6" customFormat="1" ht="16.5" customHeight="1">
      <c r="A488" s="226" t="s">
        <v>611</v>
      </c>
      <c r="B488" s="252"/>
      <c r="C488" s="252" t="s">
        <v>366</v>
      </c>
      <c r="D488" s="252" t="s">
        <v>135</v>
      </c>
      <c r="E488" s="252"/>
      <c r="F488" s="207"/>
      <c r="G488" s="113">
        <f t="shared" ref="G488:Q489" si="120">G489</f>
        <v>0</v>
      </c>
      <c r="H488" s="113">
        <f t="shared" si="120"/>
        <v>2456.5</v>
      </c>
      <c r="I488" s="113">
        <f t="shared" si="120"/>
        <v>0</v>
      </c>
      <c r="J488" s="113">
        <f t="shared" si="120"/>
        <v>0</v>
      </c>
      <c r="K488" s="113">
        <f t="shared" si="120"/>
        <v>0</v>
      </c>
      <c r="L488" s="113">
        <f t="shared" si="120"/>
        <v>0</v>
      </c>
      <c r="M488" s="113">
        <f t="shared" si="120"/>
        <v>0</v>
      </c>
      <c r="N488" s="113">
        <f t="shared" si="120"/>
        <v>0</v>
      </c>
      <c r="O488" s="113">
        <f t="shared" si="120"/>
        <v>0</v>
      </c>
      <c r="P488" s="114">
        <f>P489+P491</f>
        <v>405.5</v>
      </c>
      <c r="Q488" s="114">
        <f t="shared" si="120"/>
        <v>0</v>
      </c>
      <c r="R488" s="115">
        <f>R491</f>
        <v>8044.1</v>
      </c>
      <c r="S488" s="115"/>
      <c r="T488" s="116">
        <f>T489+T491</f>
        <v>10906.1</v>
      </c>
    </row>
    <row r="489" spans="1:20" s="94" customFormat="1" ht="24" customHeight="1">
      <c r="A489" s="226" t="s">
        <v>66</v>
      </c>
      <c r="B489" s="252" t="s">
        <v>134</v>
      </c>
      <c r="C489" s="252" t="s">
        <v>366</v>
      </c>
      <c r="D489" s="252" t="s">
        <v>135</v>
      </c>
      <c r="E489" s="252" t="s">
        <v>612</v>
      </c>
      <c r="F489" s="207"/>
      <c r="G489" s="113">
        <f t="shared" si="120"/>
        <v>0</v>
      </c>
      <c r="H489" s="113">
        <f t="shared" si="120"/>
        <v>2456.5</v>
      </c>
      <c r="I489" s="113">
        <f t="shared" si="120"/>
        <v>0</v>
      </c>
      <c r="J489" s="113">
        <f t="shared" si="120"/>
        <v>0</v>
      </c>
      <c r="K489" s="113">
        <f t="shared" si="120"/>
        <v>0</v>
      </c>
      <c r="L489" s="113">
        <f t="shared" si="120"/>
        <v>0</v>
      </c>
      <c r="M489" s="113">
        <f t="shared" si="120"/>
        <v>0</v>
      </c>
      <c r="N489" s="113">
        <f t="shared" si="120"/>
        <v>0</v>
      </c>
      <c r="O489" s="113">
        <f t="shared" si="120"/>
        <v>0</v>
      </c>
      <c r="P489" s="114">
        <f t="shared" si="120"/>
        <v>0</v>
      </c>
      <c r="Q489" s="114">
        <f t="shared" si="120"/>
        <v>0</v>
      </c>
      <c r="R489" s="115"/>
      <c r="S489" s="115"/>
      <c r="T489" s="116">
        <f>T490</f>
        <v>2456.5</v>
      </c>
    </row>
    <row r="490" spans="1:20" ht="24" customHeight="1">
      <c r="A490" s="230" t="s">
        <v>372</v>
      </c>
      <c r="B490" s="253" t="s">
        <v>134</v>
      </c>
      <c r="C490" s="253" t="s">
        <v>366</v>
      </c>
      <c r="D490" s="253" t="s">
        <v>135</v>
      </c>
      <c r="E490" s="253" t="s">
        <v>612</v>
      </c>
      <c r="F490" s="212" t="s">
        <v>373</v>
      </c>
      <c r="G490" s="117"/>
      <c r="H490" s="121">
        <v>2456.5</v>
      </c>
      <c r="I490" s="121"/>
      <c r="J490" s="121"/>
      <c r="K490" s="121"/>
      <c r="L490" s="121"/>
      <c r="M490" s="121"/>
      <c r="N490" s="121"/>
      <c r="O490" s="121"/>
      <c r="P490" s="122"/>
      <c r="Q490" s="122"/>
      <c r="R490" s="123"/>
      <c r="S490" s="123"/>
      <c r="T490" s="124">
        <v>2456.5</v>
      </c>
    </row>
    <row r="491" spans="1:20" s="6" customFormat="1" ht="24" customHeight="1">
      <c r="A491" s="218" t="s">
        <v>613</v>
      </c>
      <c r="B491" s="252" t="s">
        <v>134</v>
      </c>
      <c r="C491" s="252" t="s">
        <v>366</v>
      </c>
      <c r="D491" s="252" t="s">
        <v>135</v>
      </c>
      <c r="E491" s="252" t="s">
        <v>614</v>
      </c>
      <c r="F491" s="207"/>
      <c r="G491" s="113"/>
      <c r="H491" s="125"/>
      <c r="I491" s="125"/>
      <c r="J491" s="125"/>
      <c r="K491" s="125"/>
      <c r="L491" s="125"/>
      <c r="M491" s="125"/>
      <c r="N491" s="125"/>
      <c r="O491" s="125"/>
      <c r="P491" s="126">
        <f>P492</f>
        <v>405.5</v>
      </c>
      <c r="Q491" s="126"/>
      <c r="R491" s="127">
        <f>R492</f>
        <v>8044.1</v>
      </c>
      <c r="S491" s="127"/>
      <c r="T491" s="128">
        <f>T492</f>
        <v>8449.6</v>
      </c>
    </row>
    <row r="492" spans="1:20" ht="25.5" customHeight="1">
      <c r="A492" s="214" t="s">
        <v>255</v>
      </c>
      <c r="B492" s="253" t="s">
        <v>134</v>
      </c>
      <c r="C492" s="253" t="s">
        <v>366</v>
      </c>
      <c r="D492" s="253" t="s">
        <v>135</v>
      </c>
      <c r="E492" s="253" t="s">
        <v>614</v>
      </c>
      <c r="F492" s="212" t="s">
        <v>373</v>
      </c>
      <c r="G492" s="117"/>
      <c r="H492" s="121"/>
      <c r="I492" s="121"/>
      <c r="J492" s="121"/>
      <c r="K492" s="121"/>
      <c r="L492" s="121"/>
      <c r="M492" s="121"/>
      <c r="N492" s="121"/>
      <c r="O492" s="121"/>
      <c r="P492" s="122">
        <v>405.5</v>
      </c>
      <c r="Q492" s="122"/>
      <c r="R492" s="123">
        <f>7909.8+134.3</f>
        <v>8044.1</v>
      </c>
      <c r="S492" s="123"/>
      <c r="T492" s="124">
        <v>8449.6</v>
      </c>
    </row>
    <row r="493" spans="1:20" ht="18.75" customHeight="1">
      <c r="A493" s="228" t="s">
        <v>374</v>
      </c>
      <c r="B493" s="209"/>
      <c r="C493" s="209" t="s">
        <v>366</v>
      </c>
      <c r="D493" s="209" t="s">
        <v>193</v>
      </c>
      <c r="E493" s="209"/>
      <c r="F493" s="207"/>
      <c r="G493" s="113">
        <f t="shared" ref="G493:Q494" si="121">G494</f>
        <v>1000</v>
      </c>
      <c r="H493" s="113">
        <f t="shared" si="121"/>
        <v>0</v>
      </c>
      <c r="I493" s="113">
        <f t="shared" si="121"/>
        <v>-750</v>
      </c>
      <c r="J493" s="113">
        <f t="shared" si="121"/>
        <v>0</v>
      </c>
      <c r="K493" s="113">
        <f t="shared" si="121"/>
        <v>0</v>
      </c>
      <c r="L493" s="113">
        <f t="shared" si="121"/>
        <v>0</v>
      </c>
      <c r="M493" s="113">
        <f t="shared" si="121"/>
        <v>0</v>
      </c>
      <c r="N493" s="113">
        <f t="shared" si="121"/>
        <v>0</v>
      </c>
      <c r="O493" s="113">
        <f t="shared" si="121"/>
        <v>0</v>
      </c>
      <c r="P493" s="114">
        <f t="shared" si="121"/>
        <v>0</v>
      </c>
      <c r="Q493" s="114">
        <f>Q494+Q497</f>
        <v>200</v>
      </c>
      <c r="R493" s="115"/>
      <c r="S493" s="115"/>
      <c r="T493" s="116">
        <f>T494+T498+T496</f>
        <v>3880</v>
      </c>
    </row>
    <row r="494" spans="1:20" ht="48.75" customHeight="1">
      <c r="A494" s="210" t="s">
        <v>375</v>
      </c>
      <c r="B494" s="211" t="s">
        <v>134</v>
      </c>
      <c r="C494" s="211" t="s">
        <v>366</v>
      </c>
      <c r="D494" s="211" t="s">
        <v>193</v>
      </c>
      <c r="E494" s="211" t="s">
        <v>376</v>
      </c>
      <c r="F494" s="212"/>
      <c r="G494" s="117">
        <f>G495</f>
        <v>1000</v>
      </c>
      <c r="H494" s="117">
        <f t="shared" si="121"/>
        <v>0</v>
      </c>
      <c r="I494" s="117">
        <f t="shared" si="121"/>
        <v>-750</v>
      </c>
      <c r="J494" s="117">
        <f t="shared" si="121"/>
        <v>0</v>
      </c>
      <c r="K494" s="117">
        <f t="shared" si="121"/>
        <v>0</v>
      </c>
      <c r="L494" s="117">
        <f t="shared" si="121"/>
        <v>0</v>
      </c>
      <c r="M494" s="117">
        <f t="shared" si="121"/>
        <v>0</v>
      </c>
      <c r="N494" s="117">
        <f t="shared" si="121"/>
        <v>0</v>
      </c>
      <c r="O494" s="117">
        <f t="shared" si="121"/>
        <v>0</v>
      </c>
      <c r="P494" s="118">
        <f t="shared" si="121"/>
        <v>0</v>
      </c>
      <c r="Q494" s="118">
        <f t="shared" si="121"/>
        <v>0</v>
      </c>
      <c r="R494" s="119"/>
      <c r="S494" s="119"/>
      <c r="T494" s="120">
        <f>T495</f>
        <v>250</v>
      </c>
    </row>
    <row r="495" spans="1:20" ht="18.75" customHeight="1">
      <c r="A495" s="210" t="s">
        <v>117</v>
      </c>
      <c r="B495" s="211" t="s">
        <v>134</v>
      </c>
      <c r="C495" s="211" t="s">
        <v>366</v>
      </c>
      <c r="D495" s="211" t="s">
        <v>193</v>
      </c>
      <c r="E495" s="211" t="s">
        <v>376</v>
      </c>
      <c r="F495" s="212" t="s">
        <v>377</v>
      </c>
      <c r="G495" s="117">
        <v>1000</v>
      </c>
      <c r="H495" s="121"/>
      <c r="I495" s="121">
        <v>-750</v>
      </c>
      <c r="J495" s="121"/>
      <c r="K495" s="121"/>
      <c r="L495" s="121"/>
      <c r="M495" s="121"/>
      <c r="N495" s="121"/>
      <c r="O495" s="121"/>
      <c r="P495" s="122"/>
      <c r="Q495" s="122"/>
      <c r="R495" s="123"/>
      <c r="S495" s="123"/>
      <c r="T495" s="124">
        <v>250</v>
      </c>
    </row>
    <row r="496" spans="1:20" ht="18.75" customHeight="1">
      <c r="A496" s="210" t="s">
        <v>427</v>
      </c>
      <c r="B496" s="211" t="s">
        <v>134</v>
      </c>
      <c r="C496" s="211" t="s">
        <v>366</v>
      </c>
      <c r="D496" s="211" t="s">
        <v>193</v>
      </c>
      <c r="E496" s="254" t="s">
        <v>615</v>
      </c>
      <c r="F496" s="255"/>
      <c r="G496" s="145"/>
      <c r="H496" s="146"/>
      <c r="I496" s="146"/>
      <c r="J496" s="146"/>
      <c r="K496" s="146"/>
      <c r="L496" s="146"/>
      <c r="M496" s="146"/>
      <c r="N496" s="146"/>
      <c r="O496" s="146"/>
      <c r="P496" s="147"/>
      <c r="Q496" s="147"/>
      <c r="R496" s="148"/>
      <c r="S496" s="148"/>
      <c r="T496" s="149">
        <f>T497</f>
        <v>200</v>
      </c>
    </row>
    <row r="497" spans="1:21" ht="15.75" customHeight="1">
      <c r="A497" s="210" t="s">
        <v>117</v>
      </c>
      <c r="B497" s="211" t="s">
        <v>134</v>
      </c>
      <c r="C497" s="211" t="s">
        <v>366</v>
      </c>
      <c r="D497" s="211" t="s">
        <v>193</v>
      </c>
      <c r="E497" s="254" t="s">
        <v>615</v>
      </c>
      <c r="F497" s="255" t="s">
        <v>377</v>
      </c>
      <c r="G497" s="145"/>
      <c r="H497" s="146"/>
      <c r="I497" s="146"/>
      <c r="J497" s="146"/>
      <c r="K497" s="146"/>
      <c r="L497" s="146"/>
      <c r="M497" s="146"/>
      <c r="N497" s="146"/>
      <c r="O497" s="146"/>
      <c r="P497" s="147"/>
      <c r="Q497" s="147">
        <v>200</v>
      </c>
      <c r="R497" s="148"/>
      <c r="S497" s="148"/>
      <c r="T497" s="149">
        <v>200</v>
      </c>
    </row>
    <row r="498" spans="1:21" s="6" customFormat="1" ht="24" customHeight="1">
      <c r="A498" s="215" t="s">
        <v>553</v>
      </c>
      <c r="B498" s="209" t="s">
        <v>134</v>
      </c>
      <c r="C498" s="209" t="s">
        <v>366</v>
      </c>
      <c r="D498" s="209" t="s">
        <v>193</v>
      </c>
      <c r="E498" s="256" t="s">
        <v>554</v>
      </c>
      <c r="F498" s="257"/>
      <c r="G498" s="150"/>
      <c r="H498" s="151"/>
      <c r="I498" s="151"/>
      <c r="J498" s="151"/>
      <c r="K498" s="151"/>
      <c r="L498" s="151"/>
      <c r="M498" s="151"/>
      <c r="N498" s="151"/>
      <c r="O498" s="151"/>
      <c r="P498" s="152"/>
      <c r="Q498" s="152"/>
      <c r="R498" s="153">
        <f>R499</f>
        <v>3430</v>
      </c>
      <c r="S498" s="153"/>
      <c r="T498" s="154">
        <f>T499</f>
        <v>3430</v>
      </c>
    </row>
    <row r="499" spans="1:21" ht="24" customHeight="1">
      <c r="A499" s="214" t="s">
        <v>255</v>
      </c>
      <c r="B499" s="211" t="s">
        <v>134</v>
      </c>
      <c r="C499" s="211" t="s">
        <v>366</v>
      </c>
      <c r="D499" s="211" t="s">
        <v>193</v>
      </c>
      <c r="E499" s="211" t="s">
        <v>550</v>
      </c>
      <c r="F499" s="212" t="s">
        <v>256</v>
      </c>
      <c r="G499" s="117"/>
      <c r="H499" s="121"/>
      <c r="I499" s="121"/>
      <c r="J499" s="121"/>
      <c r="K499" s="121"/>
      <c r="L499" s="121"/>
      <c r="M499" s="121"/>
      <c r="N499" s="121"/>
      <c r="O499" s="121"/>
      <c r="P499" s="122"/>
      <c r="Q499" s="122"/>
      <c r="R499" s="123">
        <v>3430</v>
      </c>
      <c r="S499" s="123"/>
      <c r="T499" s="124">
        <v>3430</v>
      </c>
    </row>
    <row r="500" spans="1:21" ht="13.5" thickBot="1">
      <c r="A500" s="258" t="s">
        <v>127</v>
      </c>
      <c r="B500" s="259"/>
      <c r="C500" s="259"/>
      <c r="D500" s="259"/>
      <c r="E500" s="259"/>
      <c r="F500" s="260"/>
      <c r="G500" s="155" t="e">
        <f t="shared" ref="G500:S500" si="122">G484+G416+G382+G214+G210+G106+G93+G12+G90+G474+G197+G480</f>
        <v>#REF!</v>
      </c>
      <c r="H500" s="155" t="e">
        <f t="shared" si="122"/>
        <v>#REF!</v>
      </c>
      <c r="I500" s="155" t="e">
        <f t="shared" si="122"/>
        <v>#REF!</v>
      </c>
      <c r="J500" s="155" t="e">
        <f t="shared" si="122"/>
        <v>#REF!</v>
      </c>
      <c r="K500" s="155" t="e">
        <f t="shared" si="122"/>
        <v>#REF!</v>
      </c>
      <c r="L500" s="155" t="e">
        <f t="shared" si="122"/>
        <v>#REF!</v>
      </c>
      <c r="M500" s="155" t="e">
        <f t="shared" si="122"/>
        <v>#REF!</v>
      </c>
      <c r="N500" s="155" t="e">
        <f t="shared" si="122"/>
        <v>#REF!</v>
      </c>
      <c r="O500" s="155">
        <f t="shared" si="122"/>
        <v>-1.8189894035458565E-12</v>
      </c>
      <c r="P500" s="156" t="e">
        <f t="shared" si="122"/>
        <v>#REF!</v>
      </c>
      <c r="Q500" s="156">
        <f t="shared" si="122"/>
        <v>-1.3642420526593924E-12</v>
      </c>
      <c r="R500" s="155" t="e">
        <f t="shared" si="122"/>
        <v>#REF!</v>
      </c>
      <c r="S500" s="155" t="e">
        <f t="shared" si="122"/>
        <v>#REF!</v>
      </c>
      <c r="T500" s="157">
        <f>T484+T416+T382+T214+T210+T106+T93+T12+T90+T474+T197+T480</f>
        <v>1778709.0644200004</v>
      </c>
    </row>
    <row r="501" spans="1:21">
      <c r="A501" s="261"/>
      <c r="B501" s="261"/>
      <c r="C501" s="261"/>
      <c r="D501" s="261"/>
      <c r="E501" s="261"/>
      <c r="F501" s="192"/>
      <c r="G501" s="262"/>
      <c r="H501" s="190"/>
      <c r="I501" s="263"/>
      <c r="J501" s="263"/>
      <c r="K501" s="263"/>
      <c r="L501" s="263"/>
      <c r="M501" s="263"/>
      <c r="N501" s="263"/>
      <c r="O501" s="263"/>
      <c r="P501" s="264"/>
      <c r="Q501" s="264"/>
      <c r="R501" s="263"/>
      <c r="S501" s="263"/>
      <c r="T501" s="191"/>
    </row>
    <row r="502" spans="1:21">
      <c r="A502" s="15"/>
      <c r="B502" s="15"/>
      <c r="C502" s="15"/>
      <c r="D502" s="15"/>
      <c r="E502" s="15"/>
      <c r="F502" s="160"/>
      <c r="G502" s="160"/>
      <c r="I502" s="159"/>
      <c r="J502" s="159"/>
      <c r="K502" s="159"/>
      <c r="L502" s="159"/>
      <c r="M502" s="159"/>
      <c r="N502" s="159"/>
      <c r="O502" s="159"/>
      <c r="P502" s="14"/>
      <c r="Q502" s="14"/>
      <c r="R502" s="159"/>
      <c r="S502" s="159"/>
    </row>
    <row r="503" spans="1:21" ht="14.25">
      <c r="A503" s="352" t="s">
        <v>655</v>
      </c>
      <c r="B503" s="352"/>
      <c r="C503" s="352"/>
      <c r="D503" s="352"/>
      <c r="E503" s="352"/>
      <c r="F503" s="353"/>
      <c r="G503" s="353"/>
      <c r="H503" s="354"/>
      <c r="I503" s="355"/>
      <c r="J503" s="354"/>
      <c r="K503" s="355"/>
      <c r="L503" s="354" t="e">
        <f>[1]доходы!H165-'расходная часть (2)'!L500</f>
        <v>#REF!</v>
      </c>
      <c r="M503" s="355"/>
      <c r="N503" s="355"/>
      <c r="O503" s="355"/>
      <c r="P503" s="356"/>
      <c r="Q503" s="356"/>
      <c r="R503" s="355"/>
      <c r="S503" s="355"/>
      <c r="T503" s="356"/>
    </row>
    <row r="504" spans="1:21">
      <c r="A504" s="15"/>
      <c r="B504" s="15"/>
      <c r="C504" s="15"/>
      <c r="D504" s="15"/>
      <c r="E504" s="15"/>
      <c r="F504" s="160"/>
      <c r="G504" s="160"/>
      <c r="R504" s="159"/>
      <c r="T504" s="14"/>
      <c r="U504" s="161"/>
    </row>
    <row r="505" spans="1:21">
      <c r="A505" s="15"/>
      <c r="B505" s="15"/>
      <c r="C505" s="15"/>
      <c r="D505" s="15"/>
      <c r="E505" s="15"/>
      <c r="F505" s="160"/>
      <c r="G505" s="162"/>
      <c r="U505" s="8"/>
    </row>
    <row r="506" spans="1:21">
      <c r="A506" s="5"/>
      <c r="B506" s="5"/>
      <c r="C506" s="5"/>
      <c r="D506" s="5"/>
      <c r="E506" s="5"/>
      <c r="G506" s="158"/>
      <c r="P506" s="14"/>
      <c r="R506" s="159"/>
    </row>
    <row r="507" spans="1:21">
      <c r="A507" s="5"/>
      <c r="B507" s="5"/>
      <c r="C507" s="5"/>
      <c r="D507" s="5"/>
      <c r="E507" s="5"/>
      <c r="P507" s="14"/>
    </row>
    <row r="508" spans="1:21">
      <c r="A508" s="5"/>
      <c r="B508" s="5"/>
      <c r="C508" s="5"/>
      <c r="D508" s="5"/>
      <c r="E508" s="5"/>
    </row>
    <row r="509" spans="1:21">
      <c r="A509" s="5"/>
      <c r="B509" s="5"/>
      <c r="C509" s="5"/>
      <c r="D509" s="5"/>
      <c r="E509" s="5"/>
      <c r="G509" s="158"/>
    </row>
    <row r="510" spans="1:21">
      <c r="A510" s="5"/>
      <c r="B510" s="5"/>
      <c r="C510" s="5"/>
      <c r="D510" s="5"/>
      <c r="E510" s="5"/>
      <c r="G510" s="163"/>
      <c r="T510" s="14"/>
    </row>
    <row r="511" spans="1:21">
      <c r="A511" s="5"/>
      <c r="B511" s="5"/>
      <c r="C511" s="5"/>
      <c r="D511" s="5"/>
      <c r="E511" s="5"/>
      <c r="T511" s="14"/>
    </row>
    <row r="512" spans="1:21">
      <c r="A512" s="5"/>
      <c r="B512" s="5"/>
      <c r="C512" s="5"/>
      <c r="D512" s="5"/>
      <c r="E512" s="5"/>
    </row>
    <row r="513" spans="1:20">
      <c r="A513" s="5"/>
      <c r="B513" s="5"/>
      <c r="C513" s="5"/>
      <c r="D513" s="5"/>
      <c r="E513" s="5"/>
    </row>
    <row r="514" spans="1:20">
      <c r="A514" s="5"/>
      <c r="B514" s="5"/>
      <c r="C514" s="5"/>
      <c r="D514" s="5"/>
      <c r="E514" s="5"/>
      <c r="T514" s="14"/>
    </row>
    <row r="515" spans="1:20">
      <c r="A515" s="5"/>
      <c r="B515" s="5"/>
      <c r="C515" s="5"/>
      <c r="D515" s="5"/>
      <c r="E515" s="5"/>
      <c r="T515" s="14"/>
    </row>
    <row r="516" spans="1:20">
      <c r="A516" s="5"/>
      <c r="B516" s="5"/>
      <c r="C516" s="5"/>
      <c r="D516" s="5"/>
      <c r="E516" s="5"/>
    </row>
    <row r="517" spans="1:20">
      <c r="A517" s="5"/>
      <c r="B517" s="5"/>
      <c r="C517" s="5"/>
      <c r="D517" s="5"/>
      <c r="E517" s="5"/>
    </row>
    <row r="518" spans="1:20">
      <c r="A518" s="5"/>
      <c r="B518" s="5"/>
      <c r="C518" s="5"/>
      <c r="D518" s="5"/>
      <c r="E518" s="5"/>
    </row>
    <row r="519" spans="1:20">
      <c r="A519" s="5"/>
      <c r="B519" s="5"/>
      <c r="C519" s="5"/>
      <c r="D519" s="5"/>
      <c r="E519" s="5"/>
    </row>
    <row r="520" spans="1:20">
      <c r="A520" s="5"/>
      <c r="B520" s="5"/>
      <c r="C520" s="5"/>
      <c r="D520" s="5"/>
      <c r="E520" s="5"/>
    </row>
    <row r="521" spans="1:20">
      <c r="A521" s="5"/>
      <c r="B521" s="5"/>
      <c r="C521" s="5"/>
      <c r="D521" s="5"/>
      <c r="E521" s="5"/>
    </row>
    <row r="522" spans="1:20">
      <c r="A522" s="5"/>
      <c r="B522" s="5"/>
      <c r="C522" s="5"/>
      <c r="D522" s="5"/>
      <c r="E522" s="5"/>
    </row>
    <row r="523" spans="1:20">
      <c r="A523" s="5"/>
      <c r="B523" s="5"/>
      <c r="C523" s="5"/>
      <c r="D523" s="5"/>
      <c r="E523" s="5"/>
    </row>
    <row r="524" spans="1:20">
      <c r="A524" s="5"/>
      <c r="B524" s="5"/>
      <c r="C524" s="5"/>
      <c r="D524" s="5"/>
      <c r="E524" s="5"/>
    </row>
    <row r="525" spans="1:20">
      <c r="A525" s="5"/>
      <c r="B525" s="5"/>
      <c r="C525" s="5"/>
      <c r="D525" s="5"/>
      <c r="E525" s="5"/>
    </row>
    <row r="526" spans="1:20">
      <c r="A526" s="5"/>
      <c r="B526" s="5"/>
      <c r="C526" s="5"/>
      <c r="D526" s="5"/>
      <c r="E526" s="5"/>
    </row>
    <row r="527" spans="1:20">
      <c r="A527" s="5"/>
      <c r="B527" s="5"/>
      <c r="C527" s="5"/>
      <c r="D527" s="5"/>
      <c r="E527" s="5"/>
    </row>
    <row r="528" spans="1:20">
      <c r="A528" s="5"/>
      <c r="B528" s="5"/>
      <c r="C528" s="5"/>
      <c r="D528" s="5"/>
      <c r="E528" s="5"/>
    </row>
    <row r="529" spans="1:27">
      <c r="A529" s="5"/>
      <c r="B529" s="5"/>
      <c r="C529" s="5"/>
      <c r="D529" s="5"/>
      <c r="E529" s="5"/>
    </row>
    <row r="530" spans="1:27">
      <c r="A530" s="5"/>
      <c r="B530" s="5"/>
      <c r="C530" s="5"/>
      <c r="D530" s="5"/>
      <c r="E530" s="5"/>
    </row>
    <row r="531" spans="1:27" s="12" customFormat="1">
      <c r="A531" s="5"/>
      <c r="B531" s="5"/>
      <c r="C531" s="5"/>
      <c r="D531" s="5"/>
      <c r="E531" s="5"/>
      <c r="P531" s="5"/>
      <c r="Q531" s="5"/>
      <c r="T531" s="5"/>
      <c r="U531" s="4"/>
      <c r="V531" s="4"/>
      <c r="W531" s="4"/>
      <c r="X531" s="4"/>
      <c r="Y531" s="4"/>
      <c r="Z531" s="4"/>
      <c r="AA531" s="4"/>
    </row>
    <row r="532" spans="1:27" s="12" customFormat="1">
      <c r="A532" s="5"/>
      <c r="B532" s="5"/>
      <c r="C532" s="5"/>
      <c r="D532" s="5"/>
      <c r="E532" s="5"/>
      <c r="P532" s="5"/>
      <c r="Q532" s="5"/>
      <c r="T532" s="5"/>
      <c r="U532" s="4"/>
      <c r="V532" s="4"/>
      <c r="W532" s="4"/>
      <c r="X532" s="4"/>
      <c r="Y532" s="4"/>
      <c r="Z532" s="4"/>
      <c r="AA532" s="4"/>
    </row>
    <row r="533" spans="1:27" s="12" customFormat="1">
      <c r="A533" s="5"/>
      <c r="B533" s="5"/>
      <c r="C533" s="5"/>
      <c r="D533" s="5"/>
      <c r="E533" s="5"/>
      <c r="P533" s="5"/>
      <c r="Q533" s="5"/>
      <c r="T533" s="5"/>
      <c r="U533" s="4"/>
      <c r="V533" s="4"/>
      <c r="W533" s="4"/>
      <c r="X533" s="4"/>
      <c r="Y533" s="4"/>
      <c r="Z533" s="4"/>
      <c r="AA533" s="4"/>
    </row>
    <row r="534" spans="1:27" s="12" customFormat="1">
      <c r="A534" s="5"/>
      <c r="B534" s="5"/>
      <c r="C534" s="5"/>
      <c r="D534" s="5"/>
      <c r="E534" s="5"/>
      <c r="P534" s="5"/>
      <c r="Q534" s="5"/>
      <c r="T534" s="5"/>
      <c r="U534" s="4"/>
      <c r="V534" s="4"/>
      <c r="W534" s="4"/>
      <c r="X534" s="4"/>
      <c r="Y534" s="4"/>
      <c r="Z534" s="4"/>
      <c r="AA534" s="4"/>
    </row>
    <row r="535" spans="1:27" s="12" customFormat="1">
      <c r="A535" s="5"/>
      <c r="B535" s="5"/>
      <c r="C535" s="5"/>
      <c r="D535" s="5"/>
      <c r="E535" s="5"/>
      <c r="P535" s="5"/>
      <c r="Q535" s="5"/>
      <c r="T535" s="5"/>
      <c r="U535" s="4"/>
      <c r="V535" s="4"/>
      <c r="W535" s="4"/>
      <c r="X535" s="4"/>
      <c r="Y535" s="4"/>
      <c r="Z535" s="4"/>
      <c r="AA535" s="4"/>
    </row>
    <row r="536" spans="1:27" s="12" customFormat="1">
      <c r="A536" s="5"/>
      <c r="B536" s="5"/>
      <c r="C536" s="5"/>
      <c r="D536" s="5"/>
      <c r="E536" s="5"/>
      <c r="P536" s="5"/>
      <c r="Q536" s="5"/>
      <c r="T536" s="5"/>
      <c r="U536" s="4"/>
      <c r="V536" s="4"/>
      <c r="W536" s="4"/>
      <c r="X536" s="4"/>
      <c r="Y536" s="4"/>
      <c r="Z536" s="4"/>
      <c r="AA536" s="4"/>
    </row>
    <row r="537" spans="1:27" s="12" customFormat="1">
      <c r="A537" s="5"/>
      <c r="B537" s="5"/>
      <c r="C537" s="5"/>
      <c r="D537" s="5"/>
      <c r="E537" s="5"/>
      <c r="P537" s="5"/>
      <c r="Q537" s="5"/>
      <c r="T537" s="5"/>
      <c r="U537" s="4"/>
      <c r="V537" s="4"/>
      <c r="W537" s="4"/>
      <c r="X537" s="4"/>
      <c r="Y537" s="4"/>
      <c r="Z537" s="4"/>
      <c r="AA537" s="4"/>
    </row>
    <row r="538" spans="1:27" s="12" customFormat="1">
      <c r="A538" s="5"/>
      <c r="B538" s="5"/>
      <c r="C538" s="5"/>
      <c r="D538" s="5"/>
      <c r="E538" s="5"/>
      <c r="P538" s="5"/>
      <c r="Q538" s="5"/>
      <c r="T538" s="5"/>
      <c r="U538" s="4"/>
      <c r="V538" s="4"/>
      <c r="W538" s="4"/>
      <c r="X538" s="4"/>
      <c r="Y538" s="4"/>
      <c r="Z538" s="4"/>
      <c r="AA538" s="4"/>
    </row>
    <row r="539" spans="1:27" s="12" customFormat="1">
      <c r="A539" s="5"/>
      <c r="B539" s="5"/>
      <c r="C539" s="5"/>
      <c r="D539" s="5"/>
      <c r="E539" s="5"/>
      <c r="P539" s="5"/>
      <c r="Q539" s="5"/>
      <c r="T539" s="5"/>
      <c r="U539" s="4"/>
      <c r="V539" s="4"/>
      <c r="W539" s="4"/>
      <c r="X539" s="4"/>
      <c r="Y539" s="4"/>
      <c r="Z539" s="4"/>
      <c r="AA539" s="4"/>
    </row>
    <row r="540" spans="1:27" s="12" customFormat="1">
      <c r="A540" s="5"/>
      <c r="B540" s="5"/>
      <c r="C540" s="5"/>
      <c r="D540" s="5"/>
      <c r="E540" s="5"/>
      <c r="P540" s="5"/>
      <c r="Q540" s="5"/>
      <c r="T540" s="5"/>
      <c r="U540" s="4"/>
      <c r="V540" s="4"/>
      <c r="W540" s="4"/>
      <c r="X540" s="4"/>
      <c r="Y540" s="4"/>
      <c r="Z540" s="4"/>
      <c r="AA540" s="4"/>
    </row>
    <row r="541" spans="1:27" s="12" customFormat="1">
      <c r="A541" s="5"/>
      <c r="B541" s="5"/>
      <c r="C541" s="5"/>
      <c r="D541" s="5"/>
      <c r="E541" s="5"/>
      <c r="P541" s="5"/>
      <c r="Q541" s="5"/>
      <c r="T541" s="5"/>
      <c r="U541" s="4"/>
      <c r="V541" s="4"/>
      <c r="W541" s="4"/>
      <c r="X541" s="4"/>
      <c r="Y541" s="4"/>
      <c r="Z541" s="4"/>
      <c r="AA541" s="4"/>
    </row>
    <row r="542" spans="1:27" s="12" customFormat="1">
      <c r="A542" s="5"/>
      <c r="B542" s="5"/>
      <c r="C542" s="5"/>
      <c r="D542" s="5"/>
      <c r="E542" s="5"/>
      <c r="P542" s="5"/>
      <c r="Q542" s="5"/>
      <c r="T542" s="5"/>
      <c r="U542" s="4"/>
      <c r="V542" s="4"/>
      <c r="W542" s="4"/>
      <c r="X542" s="4"/>
      <c r="Y542" s="4"/>
      <c r="Z542" s="4"/>
      <c r="AA542" s="4"/>
    </row>
    <row r="543" spans="1:27" s="12" customFormat="1">
      <c r="A543" s="5"/>
      <c r="B543" s="5"/>
      <c r="C543" s="5"/>
      <c r="D543" s="5"/>
      <c r="E543" s="5"/>
      <c r="P543" s="5"/>
      <c r="Q543" s="5"/>
      <c r="T543" s="5"/>
      <c r="U543" s="4"/>
      <c r="V543" s="4"/>
      <c r="W543" s="4"/>
      <c r="X543" s="4"/>
      <c r="Y543" s="4"/>
      <c r="Z543" s="4"/>
      <c r="AA543" s="4"/>
    </row>
    <row r="544" spans="1:27" s="12" customFormat="1">
      <c r="A544" s="5"/>
      <c r="B544" s="5"/>
      <c r="C544" s="5"/>
      <c r="D544" s="5"/>
      <c r="E544" s="5"/>
      <c r="P544" s="5"/>
      <c r="Q544" s="5"/>
      <c r="T544" s="5"/>
      <c r="U544" s="4"/>
      <c r="V544" s="4"/>
      <c r="W544" s="4"/>
      <c r="X544" s="4"/>
      <c r="Y544" s="4"/>
      <c r="Z544" s="4"/>
      <c r="AA544" s="4"/>
    </row>
    <row r="545" spans="1:27" s="12" customFormat="1">
      <c r="A545" s="5"/>
      <c r="B545" s="5"/>
      <c r="C545" s="5"/>
      <c r="D545" s="5"/>
      <c r="E545" s="5"/>
      <c r="P545" s="5"/>
      <c r="Q545" s="5"/>
      <c r="T545" s="5"/>
      <c r="U545" s="4"/>
      <c r="V545" s="4"/>
      <c r="W545" s="4"/>
      <c r="X545" s="4"/>
      <c r="Y545" s="4"/>
      <c r="Z545" s="4"/>
      <c r="AA545" s="4"/>
    </row>
    <row r="546" spans="1:27" s="12" customFormat="1">
      <c r="A546" s="5"/>
      <c r="B546" s="5"/>
      <c r="C546" s="5"/>
      <c r="D546" s="5"/>
      <c r="E546" s="5"/>
      <c r="P546" s="5"/>
      <c r="Q546" s="5"/>
      <c r="T546" s="5"/>
      <c r="U546" s="4"/>
      <c r="V546" s="4"/>
      <c r="W546" s="4"/>
      <c r="X546" s="4"/>
      <c r="Y546" s="4"/>
      <c r="Z546" s="4"/>
      <c r="AA546" s="4"/>
    </row>
    <row r="547" spans="1:27" s="12" customFormat="1">
      <c r="A547" s="5"/>
      <c r="B547" s="5"/>
      <c r="C547" s="5"/>
      <c r="D547" s="5"/>
      <c r="E547" s="5"/>
      <c r="P547" s="5"/>
      <c r="Q547" s="5"/>
      <c r="T547" s="5"/>
      <c r="U547" s="4"/>
      <c r="V547" s="4"/>
      <c r="W547" s="4"/>
      <c r="X547" s="4"/>
      <c r="Y547" s="4"/>
      <c r="Z547" s="4"/>
      <c r="AA547" s="4"/>
    </row>
    <row r="548" spans="1:27" s="12" customFormat="1">
      <c r="A548" s="5"/>
      <c r="B548" s="5"/>
      <c r="C548" s="5"/>
      <c r="D548" s="5"/>
      <c r="E548" s="5"/>
      <c r="P548" s="5"/>
      <c r="Q548" s="5"/>
      <c r="T548" s="5"/>
      <c r="U548" s="4"/>
      <c r="V548" s="4"/>
      <c r="W548" s="4"/>
      <c r="X548" s="4"/>
      <c r="Y548" s="4"/>
      <c r="Z548" s="4"/>
      <c r="AA548" s="4"/>
    </row>
    <row r="549" spans="1:27" s="12" customFormat="1">
      <c r="A549" s="5"/>
      <c r="B549" s="5"/>
      <c r="C549" s="5"/>
      <c r="D549" s="5"/>
      <c r="E549" s="5"/>
      <c r="P549" s="5"/>
      <c r="Q549" s="5"/>
      <c r="T549" s="5"/>
      <c r="U549" s="4"/>
      <c r="V549" s="4"/>
      <c r="W549" s="4"/>
      <c r="X549" s="4"/>
      <c r="Y549" s="4"/>
      <c r="Z549" s="4"/>
      <c r="AA549" s="4"/>
    </row>
    <row r="550" spans="1:27" s="12" customFormat="1">
      <c r="A550" s="5"/>
      <c r="B550" s="5"/>
      <c r="C550" s="5"/>
      <c r="D550" s="5"/>
      <c r="E550" s="5"/>
      <c r="P550" s="5"/>
      <c r="Q550" s="5"/>
      <c r="T550" s="5"/>
      <c r="U550" s="4"/>
      <c r="V550" s="4"/>
      <c r="W550" s="4"/>
      <c r="X550" s="4"/>
      <c r="Y550" s="4"/>
      <c r="Z550" s="4"/>
      <c r="AA550" s="4"/>
    </row>
    <row r="551" spans="1:27" s="12" customFormat="1">
      <c r="A551" s="5"/>
      <c r="B551" s="5"/>
      <c r="C551" s="5"/>
      <c r="D551" s="5"/>
      <c r="E551" s="5"/>
      <c r="P551" s="5"/>
      <c r="Q551" s="5"/>
      <c r="T551" s="5"/>
      <c r="U551" s="4"/>
      <c r="V551" s="4"/>
      <c r="W551" s="4"/>
      <c r="X551" s="4"/>
      <c r="Y551" s="4"/>
      <c r="Z551" s="4"/>
      <c r="AA551" s="4"/>
    </row>
    <row r="552" spans="1:27" s="12" customFormat="1">
      <c r="A552" s="5"/>
      <c r="B552" s="5"/>
      <c r="C552" s="5"/>
      <c r="D552" s="5"/>
      <c r="E552" s="5"/>
      <c r="P552" s="5"/>
      <c r="Q552" s="5"/>
      <c r="T552" s="5"/>
      <c r="U552" s="4"/>
      <c r="V552" s="4"/>
      <c r="W552" s="4"/>
      <c r="X552" s="4"/>
      <c r="Y552" s="4"/>
      <c r="Z552" s="4"/>
      <c r="AA552" s="4"/>
    </row>
    <row r="553" spans="1:27" s="12" customFormat="1">
      <c r="A553" s="5"/>
      <c r="B553" s="5"/>
      <c r="C553" s="5"/>
      <c r="D553" s="5"/>
      <c r="E553" s="5"/>
      <c r="P553" s="5"/>
      <c r="Q553" s="5"/>
      <c r="T553" s="5"/>
      <c r="U553" s="4"/>
      <c r="V553" s="4"/>
      <c r="W553" s="4"/>
      <c r="X553" s="4"/>
      <c r="Y553" s="4"/>
      <c r="Z553" s="4"/>
      <c r="AA553" s="4"/>
    </row>
    <row r="554" spans="1:27" s="12" customFormat="1">
      <c r="A554" s="5"/>
      <c r="B554" s="5"/>
      <c r="C554" s="5"/>
      <c r="D554" s="5"/>
      <c r="E554" s="5"/>
      <c r="P554" s="5"/>
      <c r="Q554" s="5"/>
      <c r="T554" s="5"/>
      <c r="U554" s="4"/>
      <c r="V554" s="4"/>
      <c r="W554" s="4"/>
      <c r="X554" s="4"/>
      <c r="Y554" s="4"/>
      <c r="Z554" s="4"/>
      <c r="AA554" s="4"/>
    </row>
    <row r="555" spans="1:27" s="12" customFormat="1">
      <c r="A555" s="5"/>
      <c r="B555" s="5"/>
      <c r="C555" s="5"/>
      <c r="D555" s="5"/>
      <c r="E555" s="5"/>
      <c r="P555" s="5"/>
      <c r="Q555" s="5"/>
      <c r="T555" s="5"/>
      <c r="U555" s="4"/>
      <c r="V555" s="4"/>
      <c r="W555" s="4"/>
      <c r="X555" s="4"/>
      <c r="Y555" s="4"/>
      <c r="Z555" s="4"/>
      <c r="AA555" s="4"/>
    </row>
    <row r="556" spans="1:27" s="12" customFormat="1">
      <c r="A556" s="5"/>
      <c r="B556" s="5"/>
      <c r="C556" s="5"/>
      <c r="D556" s="5"/>
      <c r="E556" s="5"/>
      <c r="P556" s="5"/>
      <c r="Q556" s="5"/>
      <c r="T556" s="5"/>
      <c r="U556" s="4"/>
      <c r="V556" s="4"/>
      <c r="W556" s="4"/>
      <c r="X556" s="4"/>
      <c r="Y556" s="4"/>
      <c r="Z556" s="4"/>
      <c r="AA556" s="4"/>
    </row>
    <row r="557" spans="1:27" s="12" customFormat="1">
      <c r="A557" s="5"/>
      <c r="B557" s="5"/>
      <c r="C557" s="5"/>
      <c r="D557" s="5"/>
      <c r="E557" s="5"/>
      <c r="P557" s="5"/>
      <c r="Q557" s="5"/>
      <c r="T557" s="5"/>
      <c r="U557" s="4"/>
      <c r="V557" s="4"/>
      <c r="W557" s="4"/>
      <c r="X557" s="4"/>
      <c r="Y557" s="4"/>
      <c r="Z557" s="4"/>
      <c r="AA557" s="4"/>
    </row>
    <row r="558" spans="1:27" s="12" customFormat="1">
      <c r="A558" s="5"/>
      <c r="B558" s="5"/>
      <c r="C558" s="5"/>
      <c r="D558" s="5"/>
      <c r="E558" s="5"/>
      <c r="P558" s="5"/>
      <c r="Q558" s="5"/>
      <c r="T558" s="5"/>
      <c r="U558" s="4"/>
      <c r="V558" s="4"/>
      <c r="W558" s="4"/>
      <c r="X558" s="4"/>
      <c r="Y558" s="4"/>
      <c r="Z558" s="4"/>
      <c r="AA558" s="4"/>
    </row>
    <row r="559" spans="1:27" s="12" customFormat="1">
      <c r="A559" s="5"/>
      <c r="B559" s="5"/>
      <c r="C559" s="5"/>
      <c r="D559" s="5"/>
      <c r="E559" s="5"/>
      <c r="P559" s="5"/>
      <c r="Q559" s="5"/>
      <c r="T559" s="5"/>
      <c r="U559" s="4"/>
      <c r="V559" s="4"/>
      <c r="W559" s="4"/>
      <c r="X559" s="4"/>
      <c r="Y559" s="4"/>
      <c r="Z559" s="4"/>
      <c r="AA559" s="4"/>
    </row>
    <row r="560" spans="1:27" s="12" customFormat="1">
      <c r="A560" s="5"/>
      <c r="B560" s="5"/>
      <c r="C560" s="5"/>
      <c r="D560" s="5"/>
      <c r="E560" s="5"/>
      <c r="P560" s="5"/>
      <c r="Q560" s="5"/>
      <c r="T560" s="5"/>
      <c r="U560" s="4"/>
      <c r="V560" s="4"/>
      <c r="W560" s="4"/>
      <c r="X560" s="4"/>
      <c r="Y560" s="4"/>
      <c r="Z560" s="4"/>
      <c r="AA560" s="4"/>
    </row>
    <row r="561" spans="1:27" s="12" customFormat="1">
      <c r="A561" s="5"/>
      <c r="B561" s="5"/>
      <c r="C561" s="5"/>
      <c r="D561" s="5"/>
      <c r="E561" s="5"/>
      <c r="P561" s="5"/>
      <c r="Q561" s="5"/>
      <c r="T561" s="5"/>
      <c r="U561" s="4"/>
      <c r="V561" s="4"/>
      <c r="W561" s="4"/>
      <c r="X561" s="4"/>
      <c r="Y561" s="4"/>
      <c r="Z561" s="4"/>
      <c r="AA561" s="4"/>
    </row>
    <row r="562" spans="1:27" s="12" customFormat="1">
      <c r="A562" s="5"/>
      <c r="B562" s="5"/>
      <c r="C562" s="5"/>
      <c r="D562" s="5"/>
      <c r="E562" s="5"/>
      <c r="P562" s="5"/>
      <c r="Q562" s="5"/>
      <c r="T562" s="5"/>
      <c r="U562" s="4"/>
      <c r="V562" s="4"/>
      <c r="W562" s="4"/>
      <c r="X562" s="4"/>
      <c r="Y562" s="4"/>
      <c r="Z562" s="4"/>
      <c r="AA562" s="4"/>
    </row>
    <row r="563" spans="1:27" s="12" customFormat="1">
      <c r="A563" s="5"/>
      <c r="B563" s="5"/>
      <c r="C563" s="5"/>
      <c r="D563" s="5"/>
      <c r="E563" s="5"/>
      <c r="P563" s="5"/>
      <c r="Q563" s="5"/>
      <c r="T563" s="5"/>
      <c r="U563" s="4"/>
      <c r="V563" s="4"/>
      <c r="W563" s="4"/>
      <c r="X563" s="4"/>
      <c r="Y563" s="4"/>
      <c r="Z563" s="4"/>
      <c r="AA563" s="4"/>
    </row>
    <row r="564" spans="1:27" s="12" customFormat="1">
      <c r="A564" s="5"/>
      <c r="B564" s="5"/>
      <c r="C564" s="5"/>
      <c r="D564" s="5"/>
      <c r="E564" s="5"/>
      <c r="P564" s="5"/>
      <c r="Q564" s="5"/>
      <c r="T564" s="5"/>
      <c r="U564" s="4"/>
      <c r="V564" s="4"/>
      <c r="W564" s="4"/>
      <c r="X564" s="4"/>
      <c r="Y564" s="4"/>
      <c r="Z564" s="4"/>
      <c r="AA564" s="4"/>
    </row>
    <row r="565" spans="1:27" s="12" customFormat="1">
      <c r="A565" s="5"/>
      <c r="B565" s="5"/>
      <c r="C565" s="5"/>
      <c r="D565" s="5"/>
      <c r="E565" s="5"/>
      <c r="P565" s="5"/>
      <c r="Q565" s="5"/>
      <c r="T565" s="5"/>
      <c r="U565" s="4"/>
      <c r="V565" s="4"/>
      <c r="W565" s="4"/>
      <c r="X565" s="4"/>
      <c r="Y565" s="4"/>
      <c r="Z565" s="4"/>
      <c r="AA565" s="4"/>
    </row>
    <row r="566" spans="1:27" s="12" customFormat="1">
      <c r="A566" s="5"/>
      <c r="B566" s="5"/>
      <c r="C566" s="5"/>
      <c r="D566" s="5"/>
      <c r="E566" s="5"/>
      <c r="P566" s="5"/>
      <c r="Q566" s="5"/>
      <c r="T566" s="5"/>
      <c r="U566" s="4"/>
      <c r="V566" s="4"/>
      <c r="W566" s="4"/>
      <c r="X566" s="4"/>
      <c r="Y566" s="4"/>
      <c r="Z566" s="4"/>
      <c r="AA566" s="4"/>
    </row>
    <row r="567" spans="1:27" s="12" customFormat="1">
      <c r="A567" s="5"/>
      <c r="B567" s="5"/>
      <c r="C567" s="5"/>
      <c r="D567" s="5"/>
      <c r="E567" s="5"/>
      <c r="P567" s="5"/>
      <c r="Q567" s="5"/>
      <c r="T567" s="5"/>
      <c r="U567" s="4"/>
      <c r="V567" s="4"/>
      <c r="W567" s="4"/>
      <c r="X567" s="4"/>
      <c r="Y567" s="4"/>
      <c r="Z567" s="4"/>
      <c r="AA567" s="4"/>
    </row>
    <row r="568" spans="1:27" s="12" customFormat="1">
      <c r="A568" s="5"/>
      <c r="B568" s="5"/>
      <c r="C568" s="5"/>
      <c r="D568" s="5"/>
      <c r="E568" s="5"/>
      <c r="P568" s="5"/>
      <c r="Q568" s="5"/>
      <c r="T568" s="5"/>
      <c r="U568" s="4"/>
      <c r="V568" s="4"/>
      <c r="W568" s="4"/>
      <c r="X568" s="4"/>
      <c r="Y568" s="4"/>
      <c r="Z568" s="4"/>
      <c r="AA568" s="4"/>
    </row>
    <row r="569" spans="1:27" s="12" customFormat="1">
      <c r="A569" s="5"/>
      <c r="B569" s="5"/>
      <c r="C569" s="5"/>
      <c r="D569" s="5"/>
      <c r="E569" s="5"/>
      <c r="P569" s="5"/>
      <c r="Q569" s="5"/>
      <c r="T569" s="5"/>
      <c r="U569" s="4"/>
      <c r="V569" s="4"/>
      <c r="W569" s="4"/>
      <c r="X569" s="4"/>
      <c r="Y569" s="4"/>
      <c r="Z569" s="4"/>
      <c r="AA569" s="4"/>
    </row>
    <row r="570" spans="1:27" s="12" customFormat="1">
      <c r="A570" s="5"/>
      <c r="B570" s="5"/>
      <c r="C570" s="5"/>
      <c r="D570" s="5"/>
      <c r="E570" s="5"/>
      <c r="P570" s="5"/>
      <c r="Q570" s="5"/>
      <c r="T570" s="5"/>
      <c r="U570" s="4"/>
      <c r="V570" s="4"/>
      <c r="W570" s="4"/>
      <c r="X570" s="4"/>
      <c r="Y570" s="4"/>
      <c r="Z570" s="4"/>
      <c r="AA570" s="4"/>
    </row>
    <row r="571" spans="1:27" s="12" customFormat="1">
      <c r="A571" s="5"/>
      <c r="B571" s="5"/>
      <c r="C571" s="5"/>
      <c r="D571" s="5"/>
      <c r="E571" s="5"/>
      <c r="P571" s="5"/>
      <c r="Q571" s="5"/>
      <c r="T571" s="5"/>
      <c r="U571" s="4"/>
      <c r="V571" s="4"/>
      <c r="W571" s="4"/>
      <c r="X571" s="4"/>
      <c r="Y571" s="4"/>
      <c r="Z571" s="4"/>
      <c r="AA571" s="4"/>
    </row>
    <row r="572" spans="1:27" s="12" customFormat="1">
      <c r="A572" s="5"/>
      <c r="B572" s="5"/>
      <c r="C572" s="5"/>
      <c r="D572" s="5"/>
      <c r="E572" s="5"/>
      <c r="P572" s="5"/>
      <c r="Q572" s="5"/>
      <c r="T572" s="5"/>
      <c r="U572" s="4"/>
      <c r="V572" s="4"/>
      <c r="W572" s="4"/>
      <c r="X572" s="4"/>
      <c r="Y572" s="4"/>
      <c r="Z572" s="4"/>
      <c r="AA572" s="4"/>
    </row>
    <row r="573" spans="1:27" s="12" customFormat="1">
      <c r="A573" s="5"/>
      <c r="B573" s="5"/>
      <c r="C573" s="5"/>
      <c r="D573" s="5"/>
      <c r="E573" s="5"/>
      <c r="P573" s="5"/>
      <c r="Q573" s="5"/>
      <c r="T573" s="5"/>
      <c r="U573" s="4"/>
      <c r="V573" s="4"/>
      <c r="W573" s="4"/>
      <c r="X573" s="4"/>
      <c r="Y573" s="4"/>
      <c r="Z573" s="4"/>
      <c r="AA573" s="4"/>
    </row>
    <row r="574" spans="1:27" s="12" customFormat="1">
      <c r="A574" s="5"/>
      <c r="B574" s="5"/>
      <c r="C574" s="5"/>
      <c r="D574" s="5"/>
      <c r="E574" s="5"/>
      <c r="P574" s="5"/>
      <c r="Q574" s="5"/>
      <c r="T574" s="5"/>
      <c r="U574" s="4"/>
      <c r="V574" s="4"/>
      <c r="W574" s="4"/>
      <c r="X574" s="4"/>
      <c r="Y574" s="4"/>
      <c r="Z574" s="4"/>
      <c r="AA574" s="4"/>
    </row>
    <row r="575" spans="1:27" s="12" customFormat="1">
      <c r="A575" s="5"/>
      <c r="B575" s="5"/>
      <c r="C575" s="5"/>
      <c r="D575" s="5"/>
      <c r="E575" s="5"/>
      <c r="P575" s="5"/>
      <c r="Q575" s="5"/>
      <c r="T575" s="5"/>
      <c r="U575" s="4"/>
      <c r="V575" s="4"/>
      <c r="W575" s="4"/>
      <c r="X575" s="4"/>
      <c r="Y575" s="4"/>
      <c r="Z575" s="4"/>
      <c r="AA575" s="4"/>
    </row>
    <row r="576" spans="1:27" s="12" customFormat="1">
      <c r="A576" s="5"/>
      <c r="B576" s="5"/>
      <c r="C576" s="5"/>
      <c r="D576" s="5"/>
      <c r="E576" s="5"/>
      <c r="P576" s="5"/>
      <c r="Q576" s="5"/>
      <c r="T576" s="5"/>
      <c r="U576" s="4"/>
      <c r="V576" s="4"/>
      <c r="W576" s="4"/>
      <c r="X576" s="4"/>
      <c r="Y576" s="4"/>
      <c r="Z576" s="4"/>
      <c r="AA576" s="4"/>
    </row>
    <row r="577" spans="1:27" s="12" customFormat="1">
      <c r="A577" s="5"/>
      <c r="B577" s="5"/>
      <c r="C577" s="5"/>
      <c r="D577" s="5"/>
      <c r="E577" s="5"/>
      <c r="P577" s="5"/>
      <c r="Q577" s="5"/>
      <c r="T577" s="5"/>
      <c r="U577" s="4"/>
      <c r="V577" s="4"/>
      <c r="W577" s="4"/>
      <c r="X577" s="4"/>
      <c r="Y577" s="4"/>
      <c r="Z577" s="4"/>
      <c r="AA577" s="4"/>
    </row>
    <row r="578" spans="1:27" s="12" customFormat="1">
      <c r="A578" s="5"/>
      <c r="B578" s="5"/>
      <c r="C578" s="5"/>
      <c r="D578" s="5"/>
      <c r="E578" s="5"/>
      <c r="P578" s="5"/>
      <c r="Q578" s="5"/>
      <c r="T578" s="5"/>
      <c r="U578" s="4"/>
      <c r="V578" s="4"/>
      <c r="W578" s="4"/>
      <c r="X578" s="4"/>
      <c r="Y578" s="4"/>
      <c r="Z578" s="4"/>
      <c r="AA578" s="4"/>
    </row>
    <row r="579" spans="1:27" s="12" customFormat="1">
      <c r="A579" s="5"/>
      <c r="B579" s="5"/>
      <c r="C579" s="5"/>
      <c r="D579" s="5"/>
      <c r="E579" s="5"/>
      <c r="P579" s="5"/>
      <c r="Q579" s="5"/>
      <c r="T579" s="5"/>
      <c r="U579" s="4"/>
      <c r="V579" s="4"/>
      <c r="W579" s="4"/>
      <c r="X579" s="4"/>
      <c r="Y579" s="4"/>
      <c r="Z579" s="4"/>
      <c r="AA579" s="4"/>
    </row>
    <row r="580" spans="1:27" s="12" customFormat="1">
      <c r="A580" s="5"/>
      <c r="B580" s="5"/>
      <c r="C580" s="5"/>
      <c r="D580" s="5"/>
      <c r="E580" s="5"/>
      <c r="P580" s="5"/>
      <c r="Q580" s="5"/>
      <c r="T580" s="5"/>
      <c r="U580" s="4"/>
      <c r="V580" s="4"/>
      <c r="W580" s="4"/>
      <c r="X580" s="4"/>
      <c r="Y580" s="4"/>
      <c r="Z580" s="4"/>
      <c r="AA580" s="4"/>
    </row>
    <row r="581" spans="1:27" s="12" customFormat="1">
      <c r="A581" s="5"/>
      <c r="B581" s="5"/>
      <c r="C581" s="5"/>
      <c r="D581" s="5"/>
      <c r="E581" s="5"/>
      <c r="P581" s="5"/>
      <c r="Q581" s="5"/>
      <c r="T581" s="5"/>
      <c r="U581" s="4"/>
      <c r="V581" s="4"/>
      <c r="W581" s="4"/>
      <c r="X581" s="4"/>
      <c r="Y581" s="4"/>
      <c r="Z581" s="4"/>
      <c r="AA581" s="4"/>
    </row>
    <row r="582" spans="1:27" s="12" customFormat="1">
      <c r="A582" s="5"/>
      <c r="B582" s="5"/>
      <c r="C582" s="5"/>
      <c r="D582" s="5"/>
      <c r="E582" s="5"/>
      <c r="P582" s="5"/>
      <c r="Q582" s="5"/>
      <c r="T582" s="5"/>
      <c r="U582" s="4"/>
      <c r="V582" s="4"/>
      <c r="W582" s="4"/>
      <c r="X582" s="4"/>
      <c r="Y582" s="4"/>
      <c r="Z582" s="4"/>
      <c r="AA582" s="4"/>
    </row>
    <row r="583" spans="1:27" s="12" customFormat="1">
      <c r="A583" s="5"/>
      <c r="B583" s="5"/>
      <c r="C583" s="5"/>
      <c r="D583" s="5"/>
      <c r="E583" s="5"/>
      <c r="P583" s="5"/>
      <c r="Q583" s="5"/>
      <c r="T583" s="5"/>
      <c r="U583" s="4"/>
      <c r="V583" s="4"/>
      <c r="W583" s="4"/>
      <c r="X583" s="4"/>
      <c r="Y583" s="4"/>
      <c r="Z583" s="4"/>
      <c r="AA583" s="4"/>
    </row>
    <row r="584" spans="1:27" s="12" customFormat="1">
      <c r="A584" s="5"/>
      <c r="B584" s="5"/>
      <c r="C584" s="5"/>
      <c r="D584" s="5"/>
      <c r="E584" s="5"/>
      <c r="P584" s="5"/>
      <c r="Q584" s="5"/>
      <c r="T584" s="5"/>
      <c r="U584" s="4"/>
      <c r="V584" s="4"/>
      <c r="W584" s="4"/>
      <c r="X584" s="4"/>
      <c r="Y584" s="4"/>
      <c r="Z584" s="4"/>
      <c r="AA584" s="4"/>
    </row>
    <row r="585" spans="1:27" s="12" customFormat="1">
      <c r="A585" s="5"/>
      <c r="B585" s="5"/>
      <c r="C585" s="5"/>
      <c r="D585" s="5"/>
      <c r="E585" s="5"/>
      <c r="P585" s="5"/>
      <c r="Q585" s="5"/>
      <c r="T585" s="5"/>
      <c r="U585" s="4"/>
      <c r="V585" s="4"/>
      <c r="W585" s="4"/>
      <c r="X585" s="4"/>
      <c r="Y585" s="4"/>
      <c r="Z585" s="4"/>
      <c r="AA585" s="4"/>
    </row>
    <row r="586" spans="1:27" s="12" customFormat="1">
      <c r="A586" s="5"/>
      <c r="B586" s="5"/>
      <c r="C586" s="5"/>
      <c r="D586" s="5"/>
      <c r="E586" s="5"/>
      <c r="P586" s="5"/>
      <c r="Q586" s="5"/>
      <c r="T586" s="5"/>
      <c r="U586" s="4"/>
      <c r="V586" s="4"/>
      <c r="W586" s="4"/>
      <c r="X586" s="4"/>
      <c r="Y586" s="4"/>
      <c r="Z586" s="4"/>
      <c r="AA586" s="4"/>
    </row>
    <row r="587" spans="1:27" s="12" customFormat="1">
      <c r="A587" s="5"/>
      <c r="B587" s="5"/>
      <c r="C587" s="5"/>
      <c r="D587" s="5"/>
      <c r="E587" s="5"/>
      <c r="P587" s="5"/>
      <c r="Q587" s="5"/>
      <c r="T587" s="5"/>
      <c r="U587" s="4"/>
      <c r="V587" s="4"/>
      <c r="W587" s="4"/>
      <c r="X587" s="4"/>
      <c r="Y587" s="4"/>
      <c r="Z587" s="4"/>
      <c r="AA587" s="4"/>
    </row>
    <row r="588" spans="1:27" s="12" customFormat="1">
      <c r="A588" s="5"/>
      <c r="B588" s="5"/>
      <c r="C588" s="5"/>
      <c r="D588" s="5"/>
      <c r="E588" s="5"/>
      <c r="P588" s="5"/>
      <c r="Q588" s="5"/>
      <c r="T588" s="5"/>
      <c r="U588" s="4"/>
      <c r="V588" s="4"/>
      <c r="W588" s="4"/>
      <c r="X588" s="4"/>
      <c r="Y588" s="4"/>
      <c r="Z588" s="4"/>
      <c r="AA588" s="4"/>
    </row>
    <row r="589" spans="1:27" s="12" customFormat="1">
      <c r="A589" s="5"/>
      <c r="B589" s="5"/>
      <c r="C589" s="5"/>
      <c r="D589" s="5"/>
      <c r="E589" s="5"/>
      <c r="P589" s="5"/>
      <c r="Q589" s="5"/>
      <c r="T589" s="5"/>
      <c r="U589" s="4"/>
      <c r="V589" s="4"/>
      <c r="W589" s="4"/>
      <c r="X589" s="4"/>
      <c r="Y589" s="4"/>
      <c r="Z589" s="4"/>
      <c r="AA589" s="4"/>
    </row>
    <row r="590" spans="1:27" s="12" customFormat="1">
      <c r="A590" s="5"/>
      <c r="B590" s="5"/>
      <c r="C590" s="5"/>
      <c r="D590" s="5"/>
      <c r="E590" s="5"/>
      <c r="P590" s="5"/>
      <c r="Q590" s="5"/>
      <c r="T590" s="5"/>
      <c r="U590" s="4"/>
      <c r="V590" s="4"/>
      <c r="W590" s="4"/>
      <c r="X590" s="4"/>
      <c r="Y590" s="4"/>
      <c r="Z590" s="4"/>
      <c r="AA590" s="4"/>
    </row>
    <row r="591" spans="1:27" s="12" customFormat="1">
      <c r="A591" s="5"/>
      <c r="B591" s="5"/>
      <c r="C591" s="5"/>
      <c r="D591" s="5"/>
      <c r="E591" s="5"/>
      <c r="P591" s="5"/>
      <c r="Q591" s="5"/>
      <c r="T591" s="5"/>
      <c r="U591" s="4"/>
      <c r="V591" s="4"/>
      <c r="W591" s="4"/>
      <c r="X591" s="4"/>
      <c r="Y591" s="4"/>
      <c r="Z591" s="4"/>
      <c r="AA591" s="4"/>
    </row>
    <row r="592" spans="1:27" s="12" customFormat="1">
      <c r="A592" s="5"/>
      <c r="B592" s="5"/>
      <c r="C592" s="5"/>
      <c r="D592" s="5"/>
      <c r="E592" s="5"/>
      <c r="P592" s="5"/>
      <c r="Q592" s="5"/>
      <c r="T592" s="5"/>
      <c r="U592" s="4"/>
      <c r="V592" s="4"/>
      <c r="W592" s="4"/>
      <c r="X592" s="4"/>
      <c r="Y592" s="4"/>
      <c r="Z592" s="4"/>
      <c r="AA592" s="4"/>
    </row>
    <row r="593" spans="1:27" s="12" customFormat="1">
      <c r="A593" s="5"/>
      <c r="B593" s="5"/>
      <c r="C593" s="5"/>
      <c r="D593" s="5"/>
      <c r="E593" s="5"/>
      <c r="P593" s="5"/>
      <c r="Q593" s="5"/>
      <c r="T593" s="5"/>
      <c r="U593" s="4"/>
      <c r="V593" s="4"/>
      <c r="W593" s="4"/>
      <c r="X593" s="4"/>
      <c r="Y593" s="4"/>
      <c r="Z593" s="4"/>
      <c r="AA593" s="4"/>
    </row>
    <row r="594" spans="1:27" s="12" customFormat="1">
      <c r="A594" s="5"/>
      <c r="B594" s="5"/>
      <c r="C594" s="5"/>
      <c r="D594" s="5"/>
      <c r="E594" s="5"/>
      <c r="P594" s="5"/>
      <c r="Q594" s="5"/>
      <c r="T594" s="5"/>
      <c r="U594" s="4"/>
      <c r="V594" s="4"/>
      <c r="W594" s="4"/>
      <c r="X594" s="4"/>
      <c r="Y594" s="4"/>
      <c r="Z594" s="4"/>
      <c r="AA594" s="4"/>
    </row>
    <row r="595" spans="1:27" s="12" customFormat="1">
      <c r="A595" s="5"/>
      <c r="B595" s="5"/>
      <c r="C595" s="5"/>
      <c r="D595" s="5"/>
      <c r="E595" s="5"/>
      <c r="P595" s="5"/>
      <c r="Q595" s="5"/>
      <c r="T595" s="5"/>
      <c r="U595" s="4"/>
      <c r="V595" s="4"/>
      <c r="W595" s="4"/>
      <c r="X595" s="4"/>
      <c r="Y595" s="4"/>
      <c r="Z595" s="4"/>
      <c r="AA595" s="4"/>
    </row>
    <row r="596" spans="1:27" s="12" customFormat="1">
      <c r="A596" s="5"/>
      <c r="B596" s="5"/>
      <c r="C596" s="5"/>
      <c r="D596" s="5"/>
      <c r="E596" s="5"/>
      <c r="P596" s="5"/>
      <c r="Q596" s="5"/>
      <c r="T596" s="5"/>
      <c r="U596" s="4"/>
      <c r="V596" s="4"/>
      <c r="W596" s="4"/>
      <c r="X596" s="4"/>
      <c r="Y596" s="4"/>
      <c r="Z596" s="4"/>
      <c r="AA596" s="4"/>
    </row>
    <row r="597" spans="1:27" s="12" customFormat="1">
      <c r="A597" s="5"/>
      <c r="B597" s="5"/>
      <c r="C597" s="5"/>
      <c r="D597" s="5"/>
      <c r="E597" s="5"/>
      <c r="P597" s="5"/>
      <c r="Q597" s="5"/>
      <c r="T597" s="5"/>
      <c r="U597" s="4"/>
      <c r="V597" s="4"/>
      <c r="W597" s="4"/>
      <c r="X597" s="4"/>
      <c r="Y597" s="4"/>
      <c r="Z597" s="4"/>
      <c r="AA597" s="4"/>
    </row>
    <row r="598" spans="1:27" s="12" customFormat="1">
      <c r="A598" s="5"/>
      <c r="B598" s="5"/>
      <c r="C598" s="5"/>
      <c r="D598" s="5"/>
      <c r="E598" s="5"/>
      <c r="P598" s="5"/>
      <c r="Q598" s="5"/>
      <c r="T598" s="5"/>
      <c r="U598" s="4"/>
      <c r="V598" s="4"/>
      <c r="W598" s="4"/>
      <c r="X598" s="4"/>
      <c r="Y598" s="4"/>
      <c r="Z598" s="4"/>
      <c r="AA598" s="4"/>
    </row>
    <row r="599" spans="1:27" s="12" customFormat="1">
      <c r="A599" s="5"/>
      <c r="B599" s="5"/>
      <c r="C599" s="5"/>
      <c r="D599" s="5"/>
      <c r="E599" s="5"/>
      <c r="P599" s="5"/>
      <c r="Q599" s="5"/>
      <c r="T599" s="5"/>
      <c r="U599" s="4"/>
      <c r="V599" s="4"/>
      <c r="W599" s="4"/>
      <c r="X599" s="4"/>
      <c r="Y599" s="4"/>
      <c r="Z599" s="4"/>
      <c r="AA599" s="4"/>
    </row>
    <row r="600" spans="1:27" s="12" customFormat="1">
      <c r="A600" s="5"/>
      <c r="B600" s="5"/>
      <c r="C600" s="5"/>
      <c r="D600" s="5"/>
      <c r="E600" s="5"/>
      <c r="P600" s="5"/>
      <c r="Q600" s="5"/>
      <c r="T600" s="5"/>
      <c r="U600" s="4"/>
      <c r="V600" s="4"/>
      <c r="W600" s="4"/>
      <c r="X600" s="4"/>
      <c r="Y600" s="4"/>
      <c r="Z600" s="4"/>
      <c r="AA600" s="4"/>
    </row>
    <row r="601" spans="1:27" s="12" customFormat="1">
      <c r="A601" s="5"/>
      <c r="B601" s="5"/>
      <c r="C601" s="5"/>
      <c r="D601" s="5"/>
      <c r="E601" s="5"/>
      <c r="P601" s="5"/>
      <c r="Q601" s="5"/>
      <c r="T601" s="5"/>
      <c r="U601" s="4"/>
      <c r="V601" s="4"/>
      <c r="W601" s="4"/>
      <c r="X601" s="4"/>
      <c r="Y601" s="4"/>
      <c r="Z601" s="4"/>
      <c r="AA601" s="4"/>
    </row>
    <row r="602" spans="1:27" s="12" customFormat="1">
      <c r="A602" s="5"/>
      <c r="B602" s="5"/>
      <c r="C602" s="5"/>
      <c r="D602" s="5"/>
      <c r="E602" s="5"/>
      <c r="P602" s="5"/>
      <c r="Q602" s="5"/>
      <c r="T602" s="5"/>
      <c r="U602" s="4"/>
      <c r="V602" s="4"/>
      <c r="W602" s="4"/>
      <c r="X602" s="4"/>
      <c r="Y602" s="4"/>
      <c r="Z602" s="4"/>
      <c r="AA602" s="4"/>
    </row>
    <row r="603" spans="1:27" s="12" customFormat="1">
      <c r="A603" s="5"/>
      <c r="B603" s="5"/>
      <c r="C603" s="5"/>
      <c r="D603" s="5"/>
      <c r="E603" s="5"/>
      <c r="P603" s="5"/>
      <c r="Q603" s="5"/>
      <c r="T603" s="5"/>
      <c r="U603" s="4"/>
      <c r="V603" s="4"/>
      <c r="W603" s="4"/>
      <c r="X603" s="4"/>
      <c r="Y603" s="4"/>
      <c r="Z603" s="4"/>
      <c r="AA603" s="4"/>
    </row>
    <row r="604" spans="1:27" s="12" customFormat="1">
      <c r="A604" s="5"/>
      <c r="B604" s="5"/>
      <c r="C604" s="5"/>
      <c r="D604" s="5"/>
      <c r="E604" s="5"/>
      <c r="P604" s="5"/>
      <c r="Q604" s="5"/>
      <c r="T604" s="5"/>
      <c r="U604" s="4"/>
      <c r="V604" s="4"/>
      <c r="W604" s="4"/>
      <c r="X604" s="4"/>
      <c r="Y604" s="4"/>
      <c r="Z604" s="4"/>
      <c r="AA604" s="4"/>
    </row>
    <row r="605" spans="1:27" s="12" customFormat="1">
      <c r="A605" s="5"/>
      <c r="B605" s="5"/>
      <c r="C605" s="5"/>
      <c r="D605" s="5"/>
      <c r="E605" s="5"/>
      <c r="P605" s="5"/>
      <c r="Q605" s="5"/>
      <c r="T605" s="5"/>
      <c r="U605" s="4"/>
      <c r="V605" s="4"/>
      <c r="W605" s="4"/>
      <c r="X605" s="4"/>
      <c r="Y605" s="4"/>
      <c r="Z605" s="4"/>
      <c r="AA605" s="4"/>
    </row>
    <row r="606" spans="1:27" s="12" customFormat="1">
      <c r="A606" s="5"/>
      <c r="B606" s="5"/>
      <c r="C606" s="5"/>
      <c r="D606" s="5"/>
      <c r="E606" s="5"/>
      <c r="P606" s="5"/>
      <c r="Q606" s="5"/>
      <c r="T606" s="5"/>
      <c r="U606" s="4"/>
      <c r="V606" s="4"/>
      <c r="W606" s="4"/>
      <c r="X606" s="4"/>
      <c r="Y606" s="4"/>
      <c r="Z606" s="4"/>
      <c r="AA606" s="4"/>
    </row>
    <row r="607" spans="1:27" s="12" customFormat="1">
      <c r="A607" s="5"/>
      <c r="B607" s="5"/>
      <c r="C607" s="5"/>
      <c r="D607" s="5"/>
      <c r="E607" s="5"/>
      <c r="P607" s="5"/>
      <c r="Q607" s="5"/>
      <c r="T607" s="5"/>
      <c r="U607" s="4"/>
      <c r="V607" s="4"/>
      <c r="W607" s="4"/>
      <c r="X607" s="4"/>
      <c r="Y607" s="4"/>
      <c r="Z607" s="4"/>
      <c r="AA607" s="4"/>
    </row>
    <row r="608" spans="1:27" s="12" customFormat="1">
      <c r="A608" s="5"/>
      <c r="B608" s="5"/>
      <c r="C608" s="5"/>
      <c r="D608" s="5"/>
      <c r="E608" s="5"/>
      <c r="P608" s="5"/>
      <c r="Q608" s="5"/>
      <c r="T608" s="5"/>
      <c r="U608" s="4"/>
      <c r="V608" s="4"/>
      <c r="W608" s="4"/>
      <c r="X608" s="4"/>
      <c r="Y608" s="4"/>
      <c r="Z608" s="4"/>
      <c r="AA608" s="4"/>
    </row>
    <row r="609" spans="1:27" s="12" customFormat="1">
      <c r="A609" s="5"/>
      <c r="B609" s="5"/>
      <c r="C609" s="5"/>
      <c r="D609" s="5"/>
      <c r="E609" s="5"/>
      <c r="P609" s="5"/>
      <c r="Q609" s="5"/>
      <c r="T609" s="5"/>
      <c r="U609" s="4"/>
      <c r="V609" s="4"/>
      <c r="W609" s="4"/>
      <c r="X609" s="4"/>
      <c r="Y609" s="4"/>
      <c r="Z609" s="4"/>
      <c r="AA609" s="4"/>
    </row>
    <row r="610" spans="1:27" s="12" customFormat="1">
      <c r="A610" s="5"/>
      <c r="B610" s="5"/>
      <c r="C610" s="5"/>
      <c r="D610" s="5"/>
      <c r="E610" s="5"/>
      <c r="P610" s="5"/>
      <c r="Q610" s="5"/>
      <c r="T610" s="5"/>
      <c r="U610" s="4"/>
      <c r="V610" s="4"/>
      <c r="W610" s="4"/>
      <c r="X610" s="4"/>
      <c r="Y610" s="4"/>
      <c r="Z610" s="4"/>
      <c r="AA610" s="4"/>
    </row>
    <row r="611" spans="1:27" s="12" customFormat="1">
      <c r="A611" s="5"/>
      <c r="B611" s="5"/>
      <c r="C611" s="5"/>
      <c r="D611" s="5"/>
      <c r="E611" s="5"/>
      <c r="P611" s="5"/>
      <c r="Q611" s="5"/>
      <c r="T611" s="5"/>
      <c r="U611" s="4"/>
      <c r="V611" s="4"/>
      <c r="W611" s="4"/>
      <c r="X611" s="4"/>
      <c r="Y611" s="4"/>
      <c r="Z611" s="4"/>
      <c r="AA611" s="4"/>
    </row>
    <row r="612" spans="1:27" s="12" customFormat="1">
      <c r="A612" s="5"/>
      <c r="B612" s="5"/>
      <c r="C612" s="5"/>
      <c r="D612" s="5"/>
      <c r="E612" s="5"/>
      <c r="P612" s="5"/>
      <c r="Q612" s="5"/>
      <c r="T612" s="5"/>
      <c r="U612" s="4"/>
      <c r="V612" s="4"/>
      <c r="W612" s="4"/>
      <c r="X612" s="4"/>
      <c r="Y612" s="4"/>
      <c r="Z612" s="4"/>
      <c r="AA612" s="4"/>
    </row>
    <row r="613" spans="1:27" s="12" customFormat="1">
      <c r="A613" s="5"/>
      <c r="B613" s="5"/>
      <c r="C613" s="5"/>
      <c r="D613" s="5"/>
      <c r="E613" s="5"/>
      <c r="P613" s="5"/>
      <c r="Q613" s="5"/>
      <c r="T613" s="5"/>
      <c r="U613" s="4"/>
      <c r="V613" s="4"/>
      <c r="W613" s="4"/>
      <c r="X613" s="4"/>
      <c r="Y613" s="4"/>
      <c r="Z613" s="4"/>
      <c r="AA613" s="4"/>
    </row>
    <row r="614" spans="1:27" s="12" customFormat="1">
      <c r="A614" s="5"/>
      <c r="B614" s="5"/>
      <c r="C614" s="5"/>
      <c r="D614" s="5"/>
      <c r="E614" s="5"/>
      <c r="P614" s="5"/>
      <c r="Q614" s="5"/>
      <c r="T614" s="5"/>
      <c r="U614" s="4"/>
      <c r="V614" s="4"/>
      <c r="W614" s="4"/>
      <c r="X614" s="4"/>
      <c r="Y614" s="4"/>
      <c r="Z614" s="4"/>
      <c r="AA614" s="4"/>
    </row>
    <row r="615" spans="1:27" s="12" customFormat="1">
      <c r="A615" s="5"/>
      <c r="B615" s="5"/>
      <c r="C615" s="5"/>
      <c r="D615" s="5"/>
      <c r="E615" s="5"/>
      <c r="P615" s="5"/>
      <c r="Q615" s="5"/>
      <c r="T615" s="5"/>
      <c r="U615" s="4"/>
      <c r="V615" s="4"/>
      <c r="W615" s="4"/>
      <c r="X615" s="4"/>
      <c r="Y615" s="4"/>
      <c r="Z615" s="4"/>
      <c r="AA615" s="4"/>
    </row>
    <row r="616" spans="1:27" s="12" customFormat="1">
      <c r="A616" s="5"/>
      <c r="B616" s="5"/>
      <c r="C616" s="5"/>
      <c r="D616" s="5"/>
      <c r="E616" s="5"/>
      <c r="P616" s="5"/>
      <c r="Q616" s="5"/>
      <c r="T616" s="5"/>
      <c r="U616" s="4"/>
      <c r="V616" s="4"/>
      <c r="W616" s="4"/>
      <c r="X616" s="4"/>
      <c r="Y616" s="4"/>
      <c r="Z616" s="4"/>
      <c r="AA616" s="4"/>
    </row>
    <row r="617" spans="1:27" s="12" customFormat="1">
      <c r="A617" s="5"/>
      <c r="B617" s="5"/>
      <c r="C617" s="5"/>
      <c r="D617" s="5"/>
      <c r="E617" s="5"/>
      <c r="P617" s="5"/>
      <c r="Q617" s="5"/>
      <c r="T617" s="5"/>
      <c r="U617" s="4"/>
      <c r="V617" s="4"/>
      <c r="W617" s="4"/>
      <c r="X617" s="4"/>
      <c r="Y617" s="4"/>
      <c r="Z617" s="4"/>
      <c r="AA617" s="4"/>
    </row>
    <row r="618" spans="1:27" s="12" customFormat="1">
      <c r="A618" s="5"/>
      <c r="B618" s="5"/>
      <c r="C618" s="5"/>
      <c r="D618" s="5"/>
      <c r="E618" s="5"/>
      <c r="P618" s="5"/>
      <c r="Q618" s="5"/>
      <c r="T618" s="5"/>
      <c r="U618" s="4"/>
      <c r="V618" s="4"/>
      <c r="W618" s="4"/>
      <c r="X618" s="4"/>
      <c r="Y618" s="4"/>
      <c r="Z618" s="4"/>
      <c r="AA618" s="4"/>
    </row>
    <row r="619" spans="1:27" s="12" customFormat="1">
      <c r="A619" s="5"/>
      <c r="B619" s="5"/>
      <c r="C619" s="5"/>
      <c r="D619" s="5"/>
      <c r="E619" s="5"/>
      <c r="P619" s="5"/>
      <c r="Q619" s="5"/>
      <c r="T619" s="5"/>
      <c r="U619" s="4"/>
      <c r="V619" s="4"/>
      <c r="W619" s="4"/>
      <c r="X619" s="4"/>
      <c r="Y619" s="4"/>
      <c r="Z619" s="4"/>
      <c r="AA619" s="4"/>
    </row>
    <row r="620" spans="1:27" s="12" customFormat="1">
      <c r="A620" s="5"/>
      <c r="B620" s="5"/>
      <c r="C620" s="5"/>
      <c r="D620" s="5"/>
      <c r="E620" s="5"/>
      <c r="P620" s="5"/>
      <c r="Q620" s="5"/>
      <c r="T620" s="5"/>
      <c r="U620" s="4"/>
      <c r="V620" s="4"/>
      <c r="W620" s="4"/>
      <c r="X620" s="4"/>
      <c r="Y620" s="4"/>
      <c r="Z620" s="4"/>
      <c r="AA620" s="4"/>
    </row>
    <row r="621" spans="1:27" s="12" customFormat="1">
      <c r="A621" s="5"/>
      <c r="B621" s="5"/>
      <c r="C621" s="5"/>
      <c r="D621" s="5"/>
      <c r="E621" s="5"/>
      <c r="P621" s="5"/>
      <c r="Q621" s="5"/>
      <c r="T621" s="5"/>
      <c r="U621" s="4"/>
      <c r="V621" s="4"/>
      <c r="W621" s="4"/>
      <c r="X621" s="4"/>
      <c r="Y621" s="4"/>
      <c r="Z621" s="4"/>
      <c r="AA621" s="4"/>
    </row>
    <row r="622" spans="1:27" s="12" customFormat="1">
      <c r="A622" s="5"/>
      <c r="B622" s="5"/>
      <c r="C622" s="5"/>
      <c r="D622" s="5"/>
      <c r="E622" s="5"/>
      <c r="P622" s="5"/>
      <c r="Q622" s="5"/>
      <c r="T622" s="5"/>
      <c r="U622" s="4"/>
      <c r="V622" s="4"/>
      <c r="W622" s="4"/>
      <c r="X622" s="4"/>
      <c r="Y622" s="4"/>
      <c r="Z622" s="4"/>
      <c r="AA622" s="4"/>
    </row>
  </sheetData>
  <autoFilter ref="B10:G501"/>
  <mergeCells count="6">
    <mergeCell ref="E7:F7"/>
    <mergeCell ref="A5:T5"/>
    <mergeCell ref="A4:T4"/>
    <mergeCell ref="A6:G6"/>
    <mergeCell ref="E1:G1"/>
    <mergeCell ref="A3:G3"/>
  </mergeCells>
  <pageMargins left="0.74803149606299213" right="0.74803149606299213" top="0.51181102362204722" bottom="0.51181102362204722" header="0.51181102362204722" footer="0.51181102362204722"/>
  <pageSetup paperSize="9" scale="75" fitToHeight="200" orientation="portrait" r:id="rId1"/>
  <headerFooter alignWithMargins="0"/>
  <rowBreaks count="3" manualBreakCount="3">
    <brk id="170" max="13" man="1"/>
    <brk id="238" max="13" man="1"/>
    <brk id="443" max="11" man="1"/>
  </rowBreaks>
  <colBreaks count="1" manualBreakCount="1"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topLeftCell="A16" workbookViewId="0">
      <selection activeCell="A21" sqref="A21"/>
    </sheetView>
  </sheetViews>
  <sheetFormatPr defaultRowHeight="12.75"/>
  <cols>
    <col min="1" max="1" width="83.5703125" style="4" customWidth="1"/>
    <col min="2" max="2" width="20" style="4" customWidth="1"/>
    <col min="3" max="256" width="9.140625" style="4"/>
    <col min="257" max="257" width="83.5703125" style="4" customWidth="1"/>
    <col min="258" max="258" width="20" style="4" customWidth="1"/>
    <col min="259" max="512" width="9.140625" style="4"/>
    <col min="513" max="513" width="83.5703125" style="4" customWidth="1"/>
    <col min="514" max="514" width="20" style="4" customWidth="1"/>
    <col min="515" max="768" width="9.140625" style="4"/>
    <col min="769" max="769" width="83.5703125" style="4" customWidth="1"/>
    <col min="770" max="770" width="20" style="4" customWidth="1"/>
    <col min="771" max="1024" width="9.140625" style="4"/>
    <col min="1025" max="1025" width="83.5703125" style="4" customWidth="1"/>
    <col min="1026" max="1026" width="20" style="4" customWidth="1"/>
    <col min="1027" max="1280" width="9.140625" style="4"/>
    <col min="1281" max="1281" width="83.5703125" style="4" customWidth="1"/>
    <col min="1282" max="1282" width="20" style="4" customWidth="1"/>
    <col min="1283" max="1536" width="9.140625" style="4"/>
    <col min="1537" max="1537" width="83.5703125" style="4" customWidth="1"/>
    <col min="1538" max="1538" width="20" style="4" customWidth="1"/>
    <col min="1539" max="1792" width="9.140625" style="4"/>
    <col min="1793" max="1793" width="83.5703125" style="4" customWidth="1"/>
    <col min="1794" max="1794" width="20" style="4" customWidth="1"/>
    <col min="1795" max="2048" width="9.140625" style="4"/>
    <col min="2049" max="2049" width="83.5703125" style="4" customWidth="1"/>
    <col min="2050" max="2050" width="20" style="4" customWidth="1"/>
    <col min="2051" max="2304" width="9.140625" style="4"/>
    <col min="2305" max="2305" width="83.5703125" style="4" customWidth="1"/>
    <col min="2306" max="2306" width="20" style="4" customWidth="1"/>
    <col min="2307" max="2560" width="9.140625" style="4"/>
    <col min="2561" max="2561" width="83.5703125" style="4" customWidth="1"/>
    <col min="2562" max="2562" width="20" style="4" customWidth="1"/>
    <col min="2563" max="2816" width="9.140625" style="4"/>
    <col min="2817" max="2817" width="83.5703125" style="4" customWidth="1"/>
    <col min="2818" max="2818" width="20" style="4" customWidth="1"/>
    <col min="2819" max="3072" width="9.140625" style="4"/>
    <col min="3073" max="3073" width="83.5703125" style="4" customWidth="1"/>
    <col min="3074" max="3074" width="20" style="4" customWidth="1"/>
    <col min="3075" max="3328" width="9.140625" style="4"/>
    <col min="3329" max="3329" width="83.5703125" style="4" customWidth="1"/>
    <col min="3330" max="3330" width="20" style="4" customWidth="1"/>
    <col min="3331" max="3584" width="9.140625" style="4"/>
    <col min="3585" max="3585" width="83.5703125" style="4" customWidth="1"/>
    <col min="3586" max="3586" width="20" style="4" customWidth="1"/>
    <col min="3587" max="3840" width="9.140625" style="4"/>
    <col min="3841" max="3841" width="83.5703125" style="4" customWidth="1"/>
    <col min="3842" max="3842" width="20" style="4" customWidth="1"/>
    <col min="3843" max="4096" width="9.140625" style="4"/>
    <col min="4097" max="4097" width="83.5703125" style="4" customWidth="1"/>
    <col min="4098" max="4098" width="20" style="4" customWidth="1"/>
    <col min="4099" max="4352" width="9.140625" style="4"/>
    <col min="4353" max="4353" width="83.5703125" style="4" customWidth="1"/>
    <col min="4354" max="4354" width="20" style="4" customWidth="1"/>
    <col min="4355" max="4608" width="9.140625" style="4"/>
    <col min="4609" max="4609" width="83.5703125" style="4" customWidth="1"/>
    <col min="4610" max="4610" width="20" style="4" customWidth="1"/>
    <col min="4611" max="4864" width="9.140625" style="4"/>
    <col min="4865" max="4865" width="83.5703125" style="4" customWidth="1"/>
    <col min="4866" max="4866" width="20" style="4" customWidth="1"/>
    <col min="4867" max="5120" width="9.140625" style="4"/>
    <col min="5121" max="5121" width="83.5703125" style="4" customWidth="1"/>
    <col min="5122" max="5122" width="20" style="4" customWidth="1"/>
    <col min="5123" max="5376" width="9.140625" style="4"/>
    <col min="5377" max="5377" width="83.5703125" style="4" customWidth="1"/>
    <col min="5378" max="5378" width="20" style="4" customWidth="1"/>
    <col min="5379" max="5632" width="9.140625" style="4"/>
    <col min="5633" max="5633" width="83.5703125" style="4" customWidth="1"/>
    <col min="5634" max="5634" width="20" style="4" customWidth="1"/>
    <col min="5635" max="5888" width="9.140625" style="4"/>
    <col min="5889" max="5889" width="83.5703125" style="4" customWidth="1"/>
    <col min="5890" max="5890" width="20" style="4" customWidth="1"/>
    <col min="5891" max="6144" width="9.140625" style="4"/>
    <col min="6145" max="6145" width="83.5703125" style="4" customWidth="1"/>
    <col min="6146" max="6146" width="20" style="4" customWidth="1"/>
    <col min="6147" max="6400" width="9.140625" style="4"/>
    <col min="6401" max="6401" width="83.5703125" style="4" customWidth="1"/>
    <col min="6402" max="6402" width="20" style="4" customWidth="1"/>
    <col min="6403" max="6656" width="9.140625" style="4"/>
    <col min="6657" max="6657" width="83.5703125" style="4" customWidth="1"/>
    <col min="6658" max="6658" width="20" style="4" customWidth="1"/>
    <col min="6659" max="6912" width="9.140625" style="4"/>
    <col min="6913" max="6913" width="83.5703125" style="4" customWidth="1"/>
    <col min="6914" max="6914" width="20" style="4" customWidth="1"/>
    <col min="6915" max="7168" width="9.140625" style="4"/>
    <col min="7169" max="7169" width="83.5703125" style="4" customWidth="1"/>
    <col min="7170" max="7170" width="20" style="4" customWidth="1"/>
    <col min="7171" max="7424" width="9.140625" style="4"/>
    <col min="7425" max="7425" width="83.5703125" style="4" customWidth="1"/>
    <col min="7426" max="7426" width="20" style="4" customWidth="1"/>
    <col min="7427" max="7680" width="9.140625" style="4"/>
    <col min="7681" max="7681" width="83.5703125" style="4" customWidth="1"/>
    <col min="7682" max="7682" width="20" style="4" customWidth="1"/>
    <col min="7683" max="7936" width="9.140625" style="4"/>
    <col min="7937" max="7937" width="83.5703125" style="4" customWidth="1"/>
    <col min="7938" max="7938" width="20" style="4" customWidth="1"/>
    <col min="7939" max="8192" width="9.140625" style="4"/>
    <col min="8193" max="8193" width="83.5703125" style="4" customWidth="1"/>
    <col min="8194" max="8194" width="20" style="4" customWidth="1"/>
    <col min="8195" max="8448" width="9.140625" style="4"/>
    <col min="8449" max="8449" width="83.5703125" style="4" customWidth="1"/>
    <col min="8450" max="8450" width="20" style="4" customWidth="1"/>
    <col min="8451" max="8704" width="9.140625" style="4"/>
    <col min="8705" max="8705" width="83.5703125" style="4" customWidth="1"/>
    <col min="8706" max="8706" width="20" style="4" customWidth="1"/>
    <col min="8707" max="8960" width="9.140625" style="4"/>
    <col min="8961" max="8961" width="83.5703125" style="4" customWidth="1"/>
    <col min="8962" max="8962" width="20" style="4" customWidth="1"/>
    <col min="8963" max="9216" width="9.140625" style="4"/>
    <col min="9217" max="9217" width="83.5703125" style="4" customWidth="1"/>
    <col min="9218" max="9218" width="20" style="4" customWidth="1"/>
    <col min="9219" max="9472" width="9.140625" style="4"/>
    <col min="9473" max="9473" width="83.5703125" style="4" customWidth="1"/>
    <col min="9474" max="9474" width="20" style="4" customWidth="1"/>
    <col min="9475" max="9728" width="9.140625" style="4"/>
    <col min="9729" max="9729" width="83.5703125" style="4" customWidth="1"/>
    <col min="9730" max="9730" width="20" style="4" customWidth="1"/>
    <col min="9731" max="9984" width="9.140625" style="4"/>
    <col min="9985" max="9985" width="83.5703125" style="4" customWidth="1"/>
    <col min="9986" max="9986" width="20" style="4" customWidth="1"/>
    <col min="9987" max="10240" width="9.140625" style="4"/>
    <col min="10241" max="10241" width="83.5703125" style="4" customWidth="1"/>
    <col min="10242" max="10242" width="20" style="4" customWidth="1"/>
    <col min="10243" max="10496" width="9.140625" style="4"/>
    <col min="10497" max="10497" width="83.5703125" style="4" customWidth="1"/>
    <col min="10498" max="10498" width="20" style="4" customWidth="1"/>
    <col min="10499" max="10752" width="9.140625" style="4"/>
    <col min="10753" max="10753" width="83.5703125" style="4" customWidth="1"/>
    <col min="10754" max="10754" width="20" style="4" customWidth="1"/>
    <col min="10755" max="11008" width="9.140625" style="4"/>
    <col min="11009" max="11009" width="83.5703125" style="4" customWidth="1"/>
    <col min="11010" max="11010" width="20" style="4" customWidth="1"/>
    <col min="11011" max="11264" width="9.140625" style="4"/>
    <col min="11265" max="11265" width="83.5703125" style="4" customWidth="1"/>
    <col min="11266" max="11266" width="20" style="4" customWidth="1"/>
    <col min="11267" max="11520" width="9.140625" style="4"/>
    <col min="11521" max="11521" width="83.5703125" style="4" customWidth="1"/>
    <col min="11522" max="11522" width="20" style="4" customWidth="1"/>
    <col min="11523" max="11776" width="9.140625" style="4"/>
    <col min="11777" max="11777" width="83.5703125" style="4" customWidth="1"/>
    <col min="11778" max="11778" width="20" style="4" customWidth="1"/>
    <col min="11779" max="12032" width="9.140625" style="4"/>
    <col min="12033" max="12033" width="83.5703125" style="4" customWidth="1"/>
    <col min="12034" max="12034" width="20" style="4" customWidth="1"/>
    <col min="12035" max="12288" width="9.140625" style="4"/>
    <col min="12289" max="12289" width="83.5703125" style="4" customWidth="1"/>
    <col min="12290" max="12290" width="20" style="4" customWidth="1"/>
    <col min="12291" max="12544" width="9.140625" style="4"/>
    <col min="12545" max="12545" width="83.5703125" style="4" customWidth="1"/>
    <col min="12546" max="12546" width="20" style="4" customWidth="1"/>
    <col min="12547" max="12800" width="9.140625" style="4"/>
    <col min="12801" max="12801" width="83.5703125" style="4" customWidth="1"/>
    <col min="12802" max="12802" width="20" style="4" customWidth="1"/>
    <col min="12803" max="13056" width="9.140625" style="4"/>
    <col min="13057" max="13057" width="83.5703125" style="4" customWidth="1"/>
    <col min="13058" max="13058" width="20" style="4" customWidth="1"/>
    <col min="13059" max="13312" width="9.140625" style="4"/>
    <col min="13313" max="13313" width="83.5703125" style="4" customWidth="1"/>
    <col min="13314" max="13314" width="20" style="4" customWidth="1"/>
    <col min="13315" max="13568" width="9.140625" style="4"/>
    <col min="13569" max="13569" width="83.5703125" style="4" customWidth="1"/>
    <col min="13570" max="13570" width="20" style="4" customWidth="1"/>
    <col min="13571" max="13824" width="9.140625" style="4"/>
    <col min="13825" max="13825" width="83.5703125" style="4" customWidth="1"/>
    <col min="13826" max="13826" width="20" style="4" customWidth="1"/>
    <col min="13827" max="14080" width="9.140625" style="4"/>
    <col min="14081" max="14081" width="83.5703125" style="4" customWidth="1"/>
    <col min="14082" max="14082" width="20" style="4" customWidth="1"/>
    <col min="14083" max="14336" width="9.140625" style="4"/>
    <col min="14337" max="14337" width="83.5703125" style="4" customWidth="1"/>
    <col min="14338" max="14338" width="20" style="4" customWidth="1"/>
    <col min="14339" max="14592" width="9.140625" style="4"/>
    <col min="14593" max="14593" width="83.5703125" style="4" customWidth="1"/>
    <col min="14594" max="14594" width="20" style="4" customWidth="1"/>
    <col min="14595" max="14848" width="9.140625" style="4"/>
    <col min="14849" max="14849" width="83.5703125" style="4" customWidth="1"/>
    <col min="14850" max="14850" width="20" style="4" customWidth="1"/>
    <col min="14851" max="15104" width="9.140625" style="4"/>
    <col min="15105" max="15105" width="83.5703125" style="4" customWidth="1"/>
    <col min="15106" max="15106" width="20" style="4" customWidth="1"/>
    <col min="15107" max="15360" width="9.140625" style="4"/>
    <col min="15361" max="15361" width="83.5703125" style="4" customWidth="1"/>
    <col min="15362" max="15362" width="20" style="4" customWidth="1"/>
    <col min="15363" max="15616" width="9.140625" style="4"/>
    <col min="15617" max="15617" width="83.5703125" style="4" customWidth="1"/>
    <col min="15618" max="15618" width="20" style="4" customWidth="1"/>
    <col min="15619" max="15872" width="9.140625" style="4"/>
    <col min="15873" max="15873" width="83.5703125" style="4" customWidth="1"/>
    <col min="15874" max="15874" width="20" style="4" customWidth="1"/>
    <col min="15875" max="16128" width="9.140625" style="4"/>
    <col min="16129" max="16129" width="83.5703125" style="4" customWidth="1"/>
    <col min="16130" max="16130" width="20" style="4" customWidth="1"/>
    <col min="16131" max="16384" width="9.140625" style="4"/>
  </cols>
  <sheetData>
    <row r="1" spans="1:5">
      <c r="A1" s="322" t="s">
        <v>618</v>
      </c>
      <c r="B1" s="322"/>
    </row>
    <row r="2" spans="1:5">
      <c r="A2" s="321"/>
      <c r="B2" s="321"/>
      <c r="C2" s="194"/>
    </row>
    <row r="3" spans="1:5">
      <c r="A3" s="320" t="s">
        <v>384</v>
      </c>
      <c r="B3" s="320"/>
      <c r="C3" s="320"/>
    </row>
    <row r="4" spans="1:5">
      <c r="A4" s="320" t="s">
        <v>633</v>
      </c>
      <c r="B4" s="320"/>
      <c r="C4" s="320"/>
    </row>
    <row r="5" spans="1:5">
      <c r="A5" s="320" t="s">
        <v>385</v>
      </c>
      <c r="B5" s="320"/>
      <c r="C5" s="320"/>
    </row>
    <row r="6" spans="1:5">
      <c r="A6" s="265" t="s">
        <v>121</v>
      </c>
      <c r="B6" s="165" t="s">
        <v>3</v>
      </c>
      <c r="C6" s="194"/>
    </row>
    <row r="7" spans="1:5" ht="25.5" customHeight="1">
      <c r="A7" s="266" t="s">
        <v>619</v>
      </c>
      <c r="B7" s="267">
        <f>B8+B10++B16</f>
        <v>-36602.596940000076</v>
      </c>
      <c r="C7" s="194"/>
    </row>
    <row r="8" spans="1:5" s="6" customFormat="1" ht="36" customHeight="1">
      <c r="A8" s="268" t="s">
        <v>620</v>
      </c>
      <c r="B8" s="269">
        <f>B9</f>
        <v>9000</v>
      </c>
      <c r="C8" s="270"/>
    </row>
    <row r="9" spans="1:5" ht="23.25" customHeight="1">
      <c r="A9" s="271" t="s">
        <v>621</v>
      </c>
      <c r="B9" s="272">
        <v>9000</v>
      </c>
      <c r="C9" s="194"/>
    </row>
    <row r="10" spans="1:5" s="6" customFormat="1" ht="23.25" customHeight="1">
      <c r="A10" s="268" t="s">
        <v>622</v>
      </c>
      <c r="B10" s="273">
        <f>B11+B12</f>
        <v>-36602.596940000076</v>
      </c>
      <c r="C10" s="270"/>
    </row>
    <row r="11" spans="1:5" ht="22.5" customHeight="1">
      <c r="A11" s="274" t="s">
        <v>623</v>
      </c>
      <c r="B11" s="275">
        <f>-1890396.74141+B13</f>
        <v>-1880546.74141</v>
      </c>
      <c r="C11" s="194"/>
      <c r="E11" s="166"/>
    </row>
    <row r="12" spans="1:5">
      <c r="A12" s="276" t="s">
        <v>624</v>
      </c>
      <c r="B12" s="277">
        <v>1843944.1444699999</v>
      </c>
      <c r="C12" s="194"/>
    </row>
    <row r="13" spans="1:5" s="6" customFormat="1">
      <c r="A13" s="278" t="s">
        <v>625</v>
      </c>
      <c r="B13" s="279">
        <f>B15</f>
        <v>9850</v>
      </c>
      <c r="C13" s="270"/>
    </row>
    <row r="14" spans="1:5">
      <c r="A14" s="280" t="s">
        <v>626</v>
      </c>
      <c r="B14" s="281"/>
      <c r="C14" s="194"/>
    </row>
    <row r="15" spans="1:5" ht="22.5">
      <c r="A15" s="282" t="s">
        <v>627</v>
      </c>
      <c r="B15" s="281">
        <v>9850</v>
      </c>
      <c r="C15" s="194"/>
    </row>
    <row r="16" spans="1:5" s="6" customFormat="1" ht="28.5" customHeight="1">
      <c r="A16" s="283" t="s">
        <v>628</v>
      </c>
      <c r="B16" s="279">
        <f>B17</f>
        <v>-9000</v>
      </c>
      <c r="C16" s="270"/>
    </row>
    <row r="17" spans="1:3" s="6" customFormat="1" ht="28.5" customHeight="1">
      <c r="A17" s="284" t="s">
        <v>629</v>
      </c>
      <c r="B17" s="285">
        <v>-9000</v>
      </c>
      <c r="C17" s="270"/>
    </row>
    <row r="18" spans="1:3">
      <c r="A18" s="286"/>
      <c r="B18" s="287"/>
      <c r="C18" s="194"/>
    </row>
    <row r="19" spans="1:3" hidden="1">
      <c r="A19" s="19"/>
      <c r="B19" s="167"/>
    </row>
    <row r="20" spans="1:3" ht="3" hidden="1" customHeight="1">
      <c r="B20" s="161"/>
    </row>
    <row r="21" spans="1:3" ht="21" customHeight="1">
      <c r="A21" s="357" t="s">
        <v>657</v>
      </c>
      <c r="B21" s="358" t="s">
        <v>656</v>
      </c>
    </row>
    <row r="22" spans="1:3" ht="16.5" customHeight="1">
      <c r="A22" s="168"/>
      <c r="B22" s="169"/>
    </row>
  </sheetData>
  <mergeCells count="5">
    <mergeCell ref="A5:C5"/>
    <mergeCell ref="A2:B2"/>
    <mergeCell ref="A3:C3"/>
    <mergeCell ref="A4:C4"/>
    <mergeCell ref="A1:B1"/>
  </mergeCells>
  <pageMargins left="0.75" right="0.75" top="0.51" bottom="0.46" header="0.5" footer="0.5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7"/>
  <sheetViews>
    <sheetView tabSelected="1" topLeftCell="A7" workbookViewId="0">
      <selection activeCell="M34" sqref="M34"/>
    </sheetView>
  </sheetViews>
  <sheetFormatPr defaultRowHeight="12.75"/>
  <cols>
    <col min="1" max="1" width="1.85546875" customWidth="1"/>
    <col min="2" max="2" width="4.85546875" customWidth="1"/>
    <col min="3" max="3" width="5.5703125" hidden="1" customWidth="1"/>
    <col min="4" max="4" width="13" customWidth="1"/>
    <col min="7" max="7" width="13.7109375" customWidth="1"/>
    <col min="8" max="8" width="18" customWidth="1"/>
    <col min="9" max="9" width="9.7109375" hidden="1" customWidth="1"/>
    <col min="10" max="10" width="23.28515625" customWidth="1"/>
  </cols>
  <sheetData>
    <row r="3" spans="2:10">
      <c r="B3" s="97"/>
      <c r="C3" s="97"/>
      <c r="D3" s="97"/>
      <c r="E3" s="97"/>
      <c r="F3" s="97"/>
      <c r="G3" s="97"/>
      <c r="H3" s="97"/>
      <c r="I3" s="97"/>
      <c r="J3" s="305" t="s">
        <v>459</v>
      </c>
    </row>
    <row r="4" spans="2:10">
      <c r="B4" s="97"/>
      <c r="C4" s="343" t="s">
        <v>634</v>
      </c>
      <c r="D4" s="343"/>
      <c r="E4" s="343"/>
      <c r="F4" s="343"/>
      <c r="G4" s="343"/>
      <c r="H4" s="343"/>
      <c r="I4" s="343"/>
      <c r="J4" s="343"/>
    </row>
    <row r="5" spans="2:10">
      <c r="B5" s="97"/>
      <c r="C5" s="343"/>
      <c r="D5" s="343"/>
      <c r="E5" s="343"/>
      <c r="F5" s="343"/>
      <c r="G5" s="343"/>
      <c r="H5" s="343"/>
      <c r="I5" s="343"/>
      <c r="J5" s="343"/>
    </row>
    <row r="6" spans="2:10" ht="36.75" customHeight="1">
      <c r="B6" s="97"/>
      <c r="C6" s="343"/>
      <c r="D6" s="343"/>
      <c r="E6" s="343"/>
      <c r="F6" s="343"/>
      <c r="G6" s="343"/>
      <c r="H6" s="343"/>
      <c r="I6" s="343"/>
      <c r="J6" s="343"/>
    </row>
    <row r="7" spans="2:10" ht="19.5" customHeight="1" thickBot="1">
      <c r="B7" s="97"/>
      <c r="C7" s="97"/>
      <c r="D7" s="97"/>
      <c r="E7" s="97"/>
      <c r="F7" s="97"/>
      <c r="G7" s="97"/>
      <c r="H7" s="97"/>
      <c r="I7" s="97"/>
      <c r="J7" s="97"/>
    </row>
    <row r="8" spans="2:10" ht="52.5" customHeight="1">
      <c r="B8" s="344" t="s">
        <v>460</v>
      </c>
      <c r="C8" s="345"/>
      <c r="D8" s="346" t="s">
        <v>461</v>
      </c>
      <c r="E8" s="347"/>
      <c r="F8" s="347"/>
      <c r="G8" s="348"/>
      <c r="H8" s="170" t="s">
        <v>471</v>
      </c>
      <c r="I8" s="327" t="s">
        <v>471</v>
      </c>
      <c r="J8" s="171" t="s">
        <v>462</v>
      </c>
    </row>
    <row r="9" spans="2:10" s="97" customFormat="1" ht="25.5" customHeight="1" thickBot="1">
      <c r="B9" s="101"/>
      <c r="C9" s="96"/>
      <c r="D9" s="349" t="s">
        <v>477</v>
      </c>
      <c r="E9" s="350"/>
      <c r="F9" s="350"/>
      <c r="G9" s="351"/>
      <c r="H9" s="172">
        <f>H14+H15+H16+H17+H20</f>
        <v>2844</v>
      </c>
      <c r="I9" s="328"/>
      <c r="J9" s="173">
        <f>J14+J15+J16+J17+J20</f>
        <v>623906</v>
      </c>
    </row>
    <row r="10" spans="2:10" ht="19.5" hidden="1" customHeight="1">
      <c r="B10" s="99"/>
      <c r="C10" s="98"/>
      <c r="D10" s="332" t="s">
        <v>464</v>
      </c>
      <c r="E10" s="333"/>
      <c r="F10" s="333"/>
      <c r="G10" s="334"/>
      <c r="H10" s="338">
        <v>1</v>
      </c>
      <c r="I10" s="339"/>
      <c r="J10" s="174">
        <v>938</v>
      </c>
    </row>
    <row r="11" spans="2:10" ht="15.75" hidden="1">
      <c r="B11" s="99"/>
      <c r="C11" s="98"/>
      <c r="D11" s="332" t="s">
        <v>476</v>
      </c>
      <c r="E11" s="333"/>
      <c r="F11" s="333"/>
      <c r="G11" s="334"/>
      <c r="H11" s="175">
        <v>1</v>
      </c>
      <c r="I11" s="176"/>
      <c r="J11" s="174">
        <v>757</v>
      </c>
    </row>
    <row r="12" spans="2:10" ht="17.25" hidden="1" customHeight="1">
      <c r="B12" s="99"/>
      <c r="C12" s="98"/>
      <c r="D12" s="332" t="s">
        <v>465</v>
      </c>
      <c r="E12" s="333"/>
      <c r="F12" s="333"/>
      <c r="G12" s="334"/>
      <c r="H12" s="338">
        <v>28</v>
      </c>
      <c r="I12" s="339"/>
      <c r="J12" s="174">
        <v>12463</v>
      </c>
    </row>
    <row r="13" spans="2:10" ht="17.25" customHeight="1">
      <c r="B13" s="99"/>
      <c r="C13" s="98"/>
      <c r="D13" s="332" t="s">
        <v>72</v>
      </c>
      <c r="E13" s="333"/>
      <c r="F13" s="333"/>
      <c r="G13" s="334"/>
      <c r="H13" s="175"/>
      <c r="I13" s="176"/>
      <c r="J13" s="174"/>
    </row>
    <row r="14" spans="2:10" s="97" customFormat="1" ht="24.75" customHeight="1">
      <c r="B14" s="99" t="s">
        <v>463</v>
      </c>
      <c r="C14" s="98"/>
      <c r="D14" s="335" t="s">
        <v>641</v>
      </c>
      <c r="E14" s="336"/>
      <c r="F14" s="336"/>
      <c r="G14" s="337"/>
      <c r="H14" s="338">
        <v>44.5</v>
      </c>
      <c r="I14" s="339"/>
      <c r="J14" s="177">
        <v>26615</v>
      </c>
    </row>
    <row r="15" spans="2:10" ht="27" customHeight="1">
      <c r="B15" s="99" t="s">
        <v>467</v>
      </c>
      <c r="C15" s="98"/>
      <c r="D15" s="335" t="s">
        <v>466</v>
      </c>
      <c r="E15" s="336"/>
      <c r="F15" s="336"/>
      <c r="G15" s="337"/>
      <c r="H15" s="338">
        <v>27</v>
      </c>
      <c r="I15" s="339"/>
      <c r="J15" s="177">
        <v>9873</v>
      </c>
    </row>
    <row r="16" spans="2:10" ht="30" customHeight="1">
      <c r="B16" s="99" t="s">
        <v>469</v>
      </c>
      <c r="C16" s="98"/>
      <c r="D16" s="340" t="s">
        <v>468</v>
      </c>
      <c r="E16" s="341"/>
      <c r="F16" s="341"/>
      <c r="G16" s="342"/>
      <c r="H16" s="338">
        <v>6.5</v>
      </c>
      <c r="I16" s="339"/>
      <c r="J16" s="177">
        <v>2601</v>
      </c>
    </row>
    <row r="17" spans="2:10" s="97" customFormat="1" ht="21" customHeight="1">
      <c r="B17" s="99" t="s">
        <v>470</v>
      </c>
      <c r="C17" s="98"/>
      <c r="D17" s="335" t="s">
        <v>640</v>
      </c>
      <c r="E17" s="336"/>
      <c r="F17" s="336"/>
      <c r="G17" s="337"/>
      <c r="H17" s="325">
        <v>2713</v>
      </c>
      <c r="I17" s="326"/>
      <c r="J17" s="177">
        <v>569966</v>
      </c>
    </row>
    <row r="18" spans="2:10" s="100" customFormat="1" ht="21" hidden="1" customHeight="1">
      <c r="B18" s="99" t="s">
        <v>474</v>
      </c>
      <c r="C18" s="98"/>
      <c r="D18" s="332" t="s">
        <v>472</v>
      </c>
      <c r="E18" s="333"/>
      <c r="F18" s="333"/>
      <c r="G18" s="334"/>
      <c r="H18" s="175">
        <v>21.5</v>
      </c>
      <c r="I18" s="178"/>
      <c r="J18" s="177">
        <v>6036.3</v>
      </c>
    </row>
    <row r="19" spans="2:10" s="100" customFormat="1" ht="15.75" hidden="1">
      <c r="B19" s="99" t="s">
        <v>475</v>
      </c>
      <c r="C19" s="98"/>
      <c r="D19" s="332" t="s">
        <v>473</v>
      </c>
      <c r="E19" s="333"/>
      <c r="F19" s="333"/>
      <c r="G19" s="334"/>
      <c r="H19" s="175">
        <v>32.5</v>
      </c>
      <c r="I19" s="178"/>
      <c r="J19" s="177">
        <v>4083</v>
      </c>
    </row>
    <row r="20" spans="2:10" ht="28.5" customHeight="1">
      <c r="B20" s="179" t="s">
        <v>474</v>
      </c>
      <c r="C20" s="98"/>
      <c r="D20" s="329" t="s">
        <v>478</v>
      </c>
      <c r="E20" s="330"/>
      <c r="F20" s="330"/>
      <c r="G20" s="331"/>
      <c r="H20" s="175">
        <v>53</v>
      </c>
      <c r="I20" s="178"/>
      <c r="J20" s="180">
        <v>14851</v>
      </c>
    </row>
    <row r="21" spans="2:10" ht="15.75">
      <c r="B21" s="181"/>
      <c r="C21" s="182"/>
      <c r="D21" s="183"/>
      <c r="E21" s="184"/>
      <c r="F21" s="184"/>
      <c r="G21" s="182"/>
      <c r="H21" s="185"/>
      <c r="I21" s="186"/>
      <c r="J21" s="187"/>
    </row>
    <row r="23" spans="2:10">
      <c r="B23" s="289" t="s">
        <v>635</v>
      </c>
      <c r="D23" t="s">
        <v>643</v>
      </c>
      <c r="E23">
        <v>30</v>
      </c>
      <c r="F23" s="304">
        <v>20868</v>
      </c>
      <c r="G23" s="304"/>
    </row>
    <row r="24" spans="2:10">
      <c r="D24" t="s">
        <v>644</v>
      </c>
      <c r="E24">
        <v>3</v>
      </c>
      <c r="F24" s="304">
        <v>1609</v>
      </c>
      <c r="G24" s="304"/>
    </row>
    <row r="25" spans="2:10">
      <c r="D25" t="s">
        <v>645</v>
      </c>
      <c r="E25">
        <v>2</v>
      </c>
      <c r="F25" s="304">
        <v>590</v>
      </c>
      <c r="G25" s="304"/>
    </row>
    <row r="26" spans="2:10">
      <c r="D26" t="s">
        <v>646</v>
      </c>
      <c r="E26">
        <v>1</v>
      </c>
      <c r="F26" s="304">
        <v>555</v>
      </c>
      <c r="G26" s="304"/>
    </row>
    <row r="27" spans="2:10">
      <c r="D27" t="s">
        <v>647</v>
      </c>
      <c r="E27">
        <v>5.75</v>
      </c>
      <c r="F27" s="304">
        <v>978</v>
      </c>
      <c r="G27" s="304">
        <v>791</v>
      </c>
    </row>
    <row r="28" spans="2:10">
      <c r="D28" t="s">
        <v>649</v>
      </c>
      <c r="E28">
        <v>1</v>
      </c>
      <c r="F28" s="304">
        <v>475</v>
      </c>
      <c r="G28" s="304"/>
    </row>
    <row r="29" spans="2:10">
      <c r="D29" t="s">
        <v>648</v>
      </c>
      <c r="E29">
        <v>1.75</v>
      </c>
      <c r="F29" s="304">
        <v>749</v>
      </c>
      <c r="G29" s="304"/>
    </row>
    <row r="30" spans="2:10">
      <c r="F30" s="290"/>
      <c r="G30" s="290"/>
    </row>
    <row r="31" spans="2:10">
      <c r="B31" s="288" t="s">
        <v>642</v>
      </c>
      <c r="D31" t="s">
        <v>636</v>
      </c>
      <c r="E31">
        <v>1053</v>
      </c>
      <c r="F31" s="290"/>
      <c r="G31" s="290"/>
    </row>
    <row r="32" spans="2:10">
      <c r="D32" t="s">
        <v>637</v>
      </c>
      <c r="E32">
        <v>1271</v>
      </c>
    </row>
    <row r="33" spans="2:10">
      <c r="D33" s="323" t="s">
        <v>638</v>
      </c>
      <c r="E33" s="324">
        <v>225</v>
      </c>
    </row>
    <row r="34" spans="2:10">
      <c r="D34" s="323"/>
      <c r="E34" s="324"/>
    </row>
    <row r="35" spans="2:10">
      <c r="D35" t="s">
        <v>639</v>
      </c>
      <c r="E35">
        <v>164</v>
      </c>
    </row>
    <row r="37" spans="2:10">
      <c r="B37" t="s">
        <v>658</v>
      </c>
      <c r="J37" t="s">
        <v>656</v>
      </c>
    </row>
  </sheetData>
  <mergeCells count="24">
    <mergeCell ref="D14:G14"/>
    <mergeCell ref="D15:G15"/>
    <mergeCell ref="D16:G16"/>
    <mergeCell ref="C4:J6"/>
    <mergeCell ref="B8:C8"/>
    <mergeCell ref="D8:G8"/>
    <mergeCell ref="D9:G9"/>
    <mergeCell ref="D10:G10"/>
    <mergeCell ref="D33:D34"/>
    <mergeCell ref="E33:E34"/>
    <mergeCell ref="H17:I17"/>
    <mergeCell ref="I8:I9"/>
    <mergeCell ref="D20:G20"/>
    <mergeCell ref="D11:G11"/>
    <mergeCell ref="D13:G13"/>
    <mergeCell ref="D17:G17"/>
    <mergeCell ref="D18:G18"/>
    <mergeCell ref="D19:G19"/>
    <mergeCell ref="H10:I10"/>
    <mergeCell ref="H12:I12"/>
    <mergeCell ref="H14:I14"/>
    <mergeCell ref="H15:I15"/>
    <mergeCell ref="H16:I16"/>
    <mergeCell ref="D12:G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 </vt:lpstr>
      <vt:lpstr>расходная часть (2)</vt:lpstr>
      <vt:lpstr>источники (2)</vt:lpstr>
      <vt:lpstr>числ-сть</vt:lpstr>
      <vt:lpstr>'доходы '!Область_печати</vt:lpstr>
      <vt:lpstr>'источники (2)'!Область_печати</vt:lpstr>
      <vt:lpstr>'расходная часть (2)'!Область_печати</vt:lpstr>
    </vt:vector>
  </TitlesOfParts>
  <Company>ОАО "Алданзолото "ГРК"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2013-05-23T01:12:55Z</cp:lastPrinted>
  <dcterms:created xsi:type="dcterms:W3CDTF">2012-04-12T05:36:28Z</dcterms:created>
  <dcterms:modified xsi:type="dcterms:W3CDTF">2013-05-23T01:13:01Z</dcterms:modified>
</cp:coreProperties>
</file>