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035" activeTab="0"/>
  </bookViews>
  <sheets>
    <sheet name="источники" sheetId="1" r:id="rId1"/>
    <sheet name="доходная часть" sheetId="2" r:id="rId2"/>
    <sheet name="расходная часть" sheetId="3" r:id="rId3"/>
  </sheets>
  <definedNames>
    <definedName name="_xlnm._FilterDatabase" localSheetId="2" hidden="1">'расходная часть'!$H$20:$V$20</definedName>
    <definedName name="_xlnm.Print_Area" localSheetId="1">'доходная часть'!$A$1:$M$124,'доходная часть'!$R$11</definedName>
  </definedNames>
  <calcPr fullCalcOnLoad="1"/>
</workbook>
</file>

<file path=xl/sharedStrings.xml><?xml version="1.0" encoding="utf-8"?>
<sst xmlns="http://schemas.openxmlformats.org/spreadsheetml/2006/main" count="1745" uniqueCount="525">
  <si>
    <t xml:space="preserve">                                                                                  Приложение №  1</t>
  </si>
  <si>
    <t xml:space="preserve">                                                                      к решению  Алданского районного Совета</t>
  </si>
  <si>
    <t>"О бюджете муниципального образования</t>
  </si>
  <si>
    <t>"Алданский район" на 2011 год"</t>
  </si>
  <si>
    <t xml:space="preserve"> </t>
  </si>
  <si>
    <t xml:space="preserve">                                                                                                                                                         </t>
  </si>
  <si>
    <t xml:space="preserve">от 24.12.2010 № 21-2 </t>
  </si>
  <si>
    <t>Доходы бюджета муниципального образования "Алданский район" на 2011 год</t>
  </si>
  <si>
    <t>(тыс. руб.)</t>
  </si>
  <si>
    <t xml:space="preserve">Код </t>
  </si>
  <si>
    <t xml:space="preserve">Наименование </t>
  </si>
  <si>
    <t>Сумма</t>
  </si>
  <si>
    <t>Проект решения за счет дополнительных доходов</t>
  </si>
  <si>
    <t>Итого налоговые и неналоговые доходы</t>
  </si>
  <si>
    <t>Налоговые доходы</t>
  </si>
  <si>
    <t>1 01 00000 00 0000 000</t>
  </si>
  <si>
    <t>Налог на доходы физических лиц</t>
  </si>
  <si>
    <t>1 01 02010 01 0000 110</t>
  </si>
  <si>
    <t>1 01 02021 01 0000 110</t>
  </si>
  <si>
    <t>1 01 02022 01 0000 110</t>
  </si>
  <si>
    <t>1 01 02030 01 0000 110</t>
  </si>
  <si>
    <t>1 01 02040 01 0000 110</t>
  </si>
  <si>
    <t>1 01 02050 01 0000 110</t>
  </si>
  <si>
    <t>1 05 00000 00 0000 000</t>
  </si>
  <si>
    <t>Налог на совокупный доход</t>
  </si>
  <si>
    <t>1 05 01010 01 0000 110</t>
  </si>
  <si>
    <t>Единый налог, взимаемый в связи с применением упрощенной системы налогообложения</t>
  </si>
  <si>
    <t>1 05 01020 01 0000 110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</si>
  <si>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</si>
  <si>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</si>
  <si>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</si>
  <si>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</si>
  <si>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</si>
  <si>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 на имущество</t>
  </si>
  <si>
    <t>1 06 01030 00 0000 110</t>
  </si>
  <si>
    <t>Налог на имущество с физических лиц</t>
  </si>
  <si>
    <t>1 06 05000 02 0000 110</t>
  </si>
  <si>
    <t>Налог на игорный бизнес</t>
  </si>
  <si>
    <t>1 06 06000 00 0000 110</t>
  </si>
  <si>
    <t xml:space="preserve">Земельный налог </t>
  </si>
  <si>
    <t>1 06 06023 00 0000 110</t>
  </si>
  <si>
    <t>1 07 00000 00 0000 000</t>
  </si>
  <si>
    <t>Налоги, сборы и регулярные платежи за польз.пр./рес.</t>
  </si>
  <si>
    <t>1 07 01020 01 0000 110</t>
  </si>
  <si>
    <t>Налог на добычу общераспр.полезных ископ.</t>
  </si>
  <si>
    <t>1 08 00000 00 0000 000</t>
  </si>
  <si>
    <t>Государственная пошлина</t>
  </si>
  <si>
    <t>1 08 03010 01 0000 110</t>
  </si>
  <si>
    <t>Госпошлина с исковых и иных заявлений и жалоб, подаваемых в суды общей юрисдикции</t>
  </si>
  <si>
    <t>1 08 04000 01 0000 110</t>
  </si>
  <si>
    <t>Госпошлина за совершение нотариальных действий</t>
  </si>
  <si>
    <t>1 08 07140 01 0000 110</t>
  </si>
  <si>
    <t>Госпошлина за регистрацию транспорта</t>
  </si>
  <si>
    <t>1 09 00000 00 0000 000</t>
  </si>
  <si>
    <t>Задолженность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</si>
  <si>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</si>
  <si>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</si>
  <si>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</si>
  <si>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1 11 05035 00 0000 120</t>
  </si>
  <si>
    <t>Дох.от сдачи в аренду имущества находящегося в оперативном управлении органов управления муниципальных районов и созданных ими учреждений</t>
  </si>
  <si>
    <t>1 11 05035 05 0001 120</t>
  </si>
  <si>
    <t xml:space="preserve">доходы от сдачи в аренду имущества, находящегося в оперативном управлении муниципального общеобразовательного учреждения Алданского района дополнительного образования детей – «Детско-юношеская спортивная школа г. Алдан»; </t>
  </si>
  <si>
    <t>1 11 05010 00 0000 120</t>
  </si>
  <si>
    <t xml:space="preserve">Доходы от арендной платы за земельные участки,  гос.собственность на которые не разграничена  а также  средства от продажи права на заключение договоров аренды </t>
  </si>
  <si>
    <t>1 11 07000 00 0000 120</t>
  </si>
  <si>
    <t>Платежи от государ.и муниц.унитарных предприятий</t>
  </si>
  <si>
    <t>1 12 01000 01 0000 120</t>
  </si>
  <si>
    <t>Плата за негативное воздействие на окружающую среду</t>
  </si>
  <si>
    <t>1 14 00000 00 0000 410</t>
  </si>
  <si>
    <t>Доходы от продажи материальных и нематериальных активов</t>
  </si>
  <si>
    <t>116 90050 05 0000 140</t>
  </si>
  <si>
    <t>Прочие поступления от денежных взысканий (штрафов) и иных сумм в возмещение уферба, зачисляемые в бюджеты муниципальных районов</t>
  </si>
  <si>
    <t>1 17 05050 05 0000 180</t>
  </si>
  <si>
    <t>Прочие неналоговые доходы</t>
  </si>
  <si>
    <t>2 00 00000 00 0000 000</t>
  </si>
  <si>
    <t>БЕЗВОЗМЕЗДНЫЕ ПОСТУПЛЕНИЯ</t>
  </si>
  <si>
    <t>2 02 01000 00 0000 151</t>
  </si>
  <si>
    <t xml:space="preserve">Дотации бюджетам субъектов Российской Федерации и муниципальных образований  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</si>
  <si>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</si>
  <si>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</si>
  <si>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</si>
  <si>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Дотация на поддержку мер по обеспечению сбалансированности местных бюджетов</t>
  </si>
  <si>
    <t>2 02 02000 05 0000 151</t>
  </si>
  <si>
    <t>Субсидии бюджетам субъектов Российской Федерации и муниципальных образований (межбюджетные субсидии)</t>
  </si>
  <si>
    <t>2 02 02077 05 0000 151</t>
  </si>
  <si>
    <t>Суьсидии бюджетам на бюджетные инвестиции в обьекты капитального  строительства собственности муниципальных образований</t>
  </si>
  <si>
    <t>2 02 02145  05 0000 151</t>
  </si>
  <si>
    <t>Субсидия на модернизацию региональной  системы общего образования</t>
  </si>
  <si>
    <t>2 02 02999 05 0000 151</t>
  </si>
  <si>
    <t>Субсидия на реализацию муниципальных программ повышения эффективности бюджетных расходов</t>
  </si>
  <si>
    <t>2 02 02999 05 6151 151</t>
  </si>
  <si>
    <t>Субсидии бюджетам муниципальных образований (межбюджетные субсидии)на финансирование работ по капитальному ремонту жилищного фонда на  2010 год.</t>
  </si>
  <si>
    <t>2 02 02999 05 6154 151</t>
  </si>
  <si>
    <t>Субсидии на финансирование работ по капитальному ремонту учреждений бюджетной сферы</t>
  </si>
  <si>
    <t>2 02 02999 05 6157 151</t>
  </si>
  <si>
    <t>Субсидии на проведение мероприятий по обеспечению противопожарной, антитеррористической безопасности и обеспечению медицинскими кабинетами муниципальных образовательных учреждений РС (Я)</t>
  </si>
  <si>
    <t>2 02 02999 05 6160 151</t>
  </si>
  <si>
    <t>Субсидии на проведение мероприятий по обеспечению пожарной и антитеррористической безопасности на обьектах учреждений культуры РС (Я)</t>
  </si>
  <si>
    <t>2 02 02999 05 6165 151</t>
  </si>
  <si>
    <t>Субсидии на проведение мероприятий по обеспечению пожарной и антитеррористической безопасности в муниципальных учреждениях РС (Якутия)</t>
  </si>
  <si>
    <t>2 02 02999 05 6200 151</t>
  </si>
  <si>
    <t>Субсидия на организацию отдыха и оздоровления детей в каникулярное время</t>
  </si>
  <si>
    <t>2 02 02999 05 6202 151</t>
  </si>
  <si>
    <t>Субсидия на организацию перевозки детей к местам работы родителей и обратно занятых в оленеводстве</t>
  </si>
  <si>
    <t>2 02 02999 05 6300 151</t>
  </si>
  <si>
    <t>Субсидия на территориальное планирование  МР и генеральных планов населенных пунктов</t>
  </si>
  <si>
    <t>2 02 02999 05 6501 151</t>
  </si>
  <si>
    <t>Субсидии на поддержку малого и  среднего предпринимательства</t>
  </si>
  <si>
    <t>2 02 02999 05 6801 151</t>
  </si>
  <si>
    <t>Субсидия на проведение мероприятий по патриотическому воспитанию молодежи</t>
  </si>
  <si>
    <t>2 02 02008 05 0000 151</t>
  </si>
  <si>
    <t>Субсидия на реализацию подпрограммы "Обеспечение жильем молодых семей" РЦП "Жилище" на 2010-2012 гг.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</si>
  <si>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</si>
  <si>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</si>
  <si>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</si>
  <si>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Субвенция на осуществление государственных полномочий Российской Федерации по подготовке и проведению всероссийской перепеси населения, переданными для осуществления органами исполнительной власти РС (Я)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</si>
  <si>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</si>
  <si>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</si>
  <si>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</si>
  <si>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</t>
  </si>
  <si>
    <t>2 02 03020 05 0000 151</t>
  </si>
  <si>
    <t>Субвенция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</si>
  <si>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</si>
  <si>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</si>
  <si>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2 02 03022 05 0000 151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</si>
  <si>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</si>
  <si>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2 02 03024 05 6239 151</t>
  </si>
  <si>
    <t>2 02 03024 05 6249 151</t>
  </si>
  <si>
    <t>Субвенция на выполнение государственных полномочий в области оказания противотуберкулезной помощи населению</t>
  </si>
  <si>
    <t>2 02 03024 05 6236 151</t>
  </si>
  <si>
    <t>Субвенция на выполнение государственных полномочий по осуществлению деятельности по опеке и попечительству</t>
  </si>
  <si>
    <t>2 02 03024 05 6237 151</t>
  </si>
  <si>
    <t>Субвенция, предоставляемые органам местного самоуправления муниципальных районов для исполнения госполномочий по выравниванию бюджетов поселений</t>
  </si>
  <si>
    <t>2 02 03024 05 6229 151</t>
  </si>
  <si>
    <t xml:space="preserve">Субвенция на выполнение отдельных государственных полномочий по комплектованию, хранению, учету и использованию документов Архивного фонда РС(Я) </t>
  </si>
  <si>
    <t>2 02 03024 05 6231 151</t>
  </si>
  <si>
    <t xml:space="preserve">Субвенция на выполнение отдельных государственных полномочий по лицензированию розничной продажи алкогольной продукции </t>
  </si>
  <si>
    <t>2 02 03024 05 6228 151</t>
  </si>
  <si>
    <t xml:space="preserve">Субвенция на выполнение отдельных государственных полномочий по государственному регулированию цен (тарифов)  </t>
  </si>
  <si>
    <t>2 02 03024 05 6235 151</t>
  </si>
  <si>
    <t>Субвенция на санаторно-курортное лечение детей сирот и детей, оставшихся без попечения родителей</t>
  </si>
  <si>
    <t>2 02 03024 05 6210 151</t>
  </si>
  <si>
    <t>Субвенция на обеспечение государственного образовательного стандарта</t>
  </si>
  <si>
    <t>2 02 03024 05 6226 151</t>
  </si>
  <si>
    <t>Субвенция на финансирование образовательных учреждений для детей-сирот и детей, оставшихся без попечения родителей</t>
  </si>
  <si>
    <t>2 02 03024 05 6227 151</t>
  </si>
  <si>
    <t xml:space="preserve">Субвенция на обеспечение проезда детей-сирот и детей, оставшихся без попечения родителей, обучающихся в муниципальных образовательных учреждениях </t>
  </si>
  <si>
    <t>2 02 03024 05 6221 151</t>
  </si>
  <si>
    <t>Субвенция на бесплатное обеспечение лекарственными средствами и изделиями медицинского назначения отдельных категорий населения</t>
  </si>
  <si>
    <t>2 02 03024 05 6222 151</t>
  </si>
  <si>
    <t>Субвенция на обеспечение бесплатным питанием детей в возрасте до трех лет</t>
  </si>
  <si>
    <t>2 02 03024 05 6234 151</t>
  </si>
  <si>
    <t>Субвенция  по реализации ФЗ от 25.10.02г. №125-ФЗ "О жилищных субсидиях гражданам, выезжающим из районов Крайнего севера и приравненных к ним местностей"</t>
  </si>
  <si>
    <t>2 02 03024 05 6232 151</t>
  </si>
  <si>
    <t xml:space="preserve">Субвенция на выполнение отдельных государственных полномочий в области охраны труда </t>
  </si>
  <si>
    <t>2 02 03024 05 6233 151</t>
  </si>
  <si>
    <t>Субвенция на исполнение функций комиссий по делам несовершеннолетних</t>
  </si>
  <si>
    <t>2 02 03024 05 6224 151</t>
  </si>
  <si>
    <t>Субвенция на оплату проезда граждан РС (Я) к месту лечения  в республиканские специалиализированные медицинские учреждения и обратно</t>
  </si>
  <si>
    <t>2 02 03024 05 6250 151</t>
  </si>
  <si>
    <t>Субвенция на осуществление государственных полномочий по организации деятельности административных комиссий по рассмотрению дел об административных правонарушениях</t>
  </si>
  <si>
    <t>2 02 03026 05 0000 151</t>
  </si>
  <si>
    <t>Субвенция на обеспечение жилыми помещениями детей-сирот и детей, оставшихся без попечения родителей, и лиц из их числа</t>
  </si>
  <si>
    <t>2 02 03027 05 6311 151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</si>
  <si>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</si>
  <si>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</si>
  <si>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</si>
  <si>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</si>
  <si>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</si>
  <si>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3 02 03055 05 0000 151</t>
  </si>
  <si>
    <t>4 02 03055 05 0000 151</t>
  </si>
  <si>
    <t>5 02 03055 05 0000 151</t>
  </si>
  <si>
    <t>6 02 03055 05 0000 151</t>
  </si>
  <si>
    <t>7 02 03055 05 0000 151</t>
  </si>
  <si>
    <t>8 02 03055 05 0000 151</t>
  </si>
  <si>
    <t>2 02 03055 05 6800 151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</si>
  <si>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 (за счет средств Республиканского бюджета)</t>
  </si>
  <si>
    <t>2 02 04000 00 0000 151</t>
  </si>
  <si>
    <t>Иные межбюджетные трансферты</t>
  </si>
  <si>
    <t>2 02 04012 05 6500 151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</si>
  <si>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</si>
  <si>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</si>
  <si>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</si>
  <si>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2 02 04025 05 0000 151</t>
  </si>
  <si>
    <t>Межбюджетные трансферты на комплектование книжных фондов библиотек  муниципальных образований</t>
  </si>
  <si>
    <t>2 02 04029 05 0000 151</t>
  </si>
  <si>
    <t>Субсидии на реализацию дополнительных мероприятий, направленных на снижение напряженности на рынке труда</t>
  </si>
  <si>
    <t>0 02 04034 05 0001 151</t>
  </si>
  <si>
    <t>Межбюджетные трансферты на реализацию Программы модернизации здравоохранения РС (Я) на 2011-2012 годы</t>
  </si>
  <si>
    <t>2 02 09024 05 0000 151</t>
  </si>
  <si>
    <t>Межбюджетные трансферты на проведение противопожарных мероприятий от лесных пожаров</t>
  </si>
  <si>
    <t>ВСЕГО ДОХОДОВ</t>
  </si>
  <si>
    <t xml:space="preserve">                                 Председатель Алданского</t>
  </si>
  <si>
    <t xml:space="preserve">                                 районного Совета                                                                                                                                                                С.П. Жаворонков</t>
  </si>
  <si>
    <t>Приложение № 2</t>
  </si>
  <si>
    <t xml:space="preserve">к решению Алданского районного Совета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</si>
  <si>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</si>
  <si>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6</t>
  </si>
  <si>
    <t xml:space="preserve"> Распределение бюджетных ассигнований</t>
  </si>
  <si>
    <t xml:space="preserve">муниципального образования "Алданский район"на 2011 год </t>
  </si>
  <si>
    <t>по разделам, подразделам, целевым статьям и видам   функциональной  и ведомственной структуре расходов бюджетов Российской Федерации</t>
  </si>
  <si>
    <t>Наименование</t>
  </si>
  <si>
    <t>Ведомство</t>
  </si>
  <si>
    <t>Рз</t>
  </si>
  <si>
    <t>ПР</t>
  </si>
  <si>
    <t>ЦСР</t>
  </si>
  <si>
    <t>ВР</t>
  </si>
  <si>
    <t>Прект решения за счет дополнительных доходов</t>
  </si>
  <si>
    <t xml:space="preserve"> за счет перемещения бюджетных ассигнований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</si>
  <si>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</si>
  <si>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</si>
  <si>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</si>
  <si>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</si>
  <si>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</si>
  <si>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</si>
  <si>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 </t>
  </si>
  <si>
    <t>010</t>
  </si>
  <si>
    <t>02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</si>
  <si>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</si>
  <si>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</si>
  <si>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</si>
  <si>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</si>
  <si>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</si>
  <si>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</si>
  <si>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</si>
  <si>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</si>
  <si>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002 04 00</t>
  </si>
  <si>
    <t>Расходы на содержание органов государственной власти и органов местного самоуправления</t>
  </si>
  <si>
    <t>002 04 90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</si>
  <si>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</si>
  <si>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</si>
  <si>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</si>
  <si>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</si>
  <si>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0022500</t>
  </si>
  <si>
    <t>Резервные фонды</t>
  </si>
  <si>
    <t>11</t>
  </si>
  <si>
    <t>Резервные фонды местных администраций</t>
  </si>
  <si>
    <t>070 05 00</t>
  </si>
  <si>
    <t>Прочие расходы</t>
  </si>
  <si>
    <t>013</t>
  </si>
  <si>
    <t>"Прикладные научные исследования в области общегосударственных вопросов"</t>
  </si>
  <si>
    <t>12</t>
  </si>
  <si>
    <t>Выполнение научно-исследовательских и опытно-конструкторских работ по государственным контрактам</t>
  </si>
  <si>
    <t>0816900</t>
  </si>
  <si>
    <t>Другие общегосударственные вопросы</t>
  </si>
  <si>
    <t>13</t>
  </si>
  <si>
    <t>0020490</t>
  </si>
  <si>
    <t>Управление находящимися в государственной и муниципальной собственности акциями открытых акционерных обществ</t>
  </si>
  <si>
    <t>0024100</t>
  </si>
  <si>
    <t>Осуществление полномочий по подготовке проведения статистических переписей</t>
  </si>
  <si>
    <t>0014300</t>
  </si>
  <si>
    <t>Обеспечение деятельности подведомственных учреждений</t>
  </si>
  <si>
    <t>0939909</t>
  </si>
  <si>
    <t>Выполнение функций бюджетными учреждениями</t>
  </si>
  <si>
    <t>001</t>
  </si>
  <si>
    <t>Мероприятия по энергосбережению и повышению энергетической эффективности</t>
  </si>
  <si>
    <t>0920323</t>
  </si>
  <si>
    <t>Расходы на выполнение отдельных государственных полномочий по комплектованию, хранению, учету и использованию документов Архивного фонда РС(Я)</t>
  </si>
  <si>
    <t>521 02 29</t>
  </si>
  <si>
    <t>Расходы на выполнение отдельных государственных полномочий по реализации Федерального закона от 25.10.02г. № 125-ФЗ "О жилищных субсидиях гражданам, выезжающим из районов Крайнего Севера и приравненных к ним местностей"</t>
  </si>
  <si>
    <t>521 02 34</t>
  </si>
  <si>
    <t>Расходы на исполнение функций административных комиссий</t>
  </si>
  <si>
    <t>521 02 50</t>
  </si>
  <si>
    <t>Программа Правительства Республики Саха (Якутия) по повышению эффективности бюджетных расходов на 2011-2012 годы</t>
  </si>
  <si>
    <t>6221200</t>
  </si>
  <si>
    <t>Целевые программы муниципальных образований</t>
  </si>
  <si>
    <t>7950000</t>
  </si>
  <si>
    <t>Мобилизационная и вневойсковая подготовка</t>
  </si>
  <si>
    <t>03</t>
  </si>
  <si>
    <t>Субвенция на 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</si>
  <si>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</si>
  <si>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</si>
  <si>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</si>
  <si>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</si>
  <si>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</si>
  <si>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Органы юстиции</t>
  </si>
  <si>
    <t xml:space="preserve">Субвенция на осуществление полномочий по государственной регистрация актов гражданского состояния </t>
  </si>
  <si>
    <t>001 38 00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</si>
  <si>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</si>
  <si>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</si>
  <si>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</si>
  <si>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</si>
  <si>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Общеэкономические вопросы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</si>
  <si>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</si>
  <si>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</si>
  <si>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Фонд софинансирования</t>
  </si>
  <si>
    <t>Расходы на выполнение отдельных государственных полномочий по государственному регулированию цен (тарифов)</t>
  </si>
  <si>
    <t>521 02 28</t>
  </si>
  <si>
    <t>Расходы на выполнение отдельных государственных полномочий по лицензированию розничной продажи алкогольной продукции</t>
  </si>
  <si>
    <t>521 02 31</t>
  </si>
  <si>
    <t>Программа дополнительных мер по снижению напряженности на рынке труда в Республике Саха (Якутия) на 2011 год</t>
  </si>
  <si>
    <t>5222600</t>
  </si>
  <si>
    <t>Топливно – энергетический комплекс</t>
  </si>
  <si>
    <t>Мероприятия в топливно-энергетической области</t>
  </si>
  <si>
    <t>2480100</t>
  </si>
  <si>
    <t>Субсидии юридическим лицам</t>
  </si>
  <si>
    <t>006</t>
  </si>
  <si>
    <t>Сельское хозяйство и рыболовство</t>
  </si>
  <si>
    <t>05</t>
  </si>
  <si>
    <t>Мероприятия в области сельскохозяйственного производства</t>
  </si>
  <si>
    <t>342</t>
  </si>
  <si>
    <t>07</t>
  </si>
  <si>
    <t>Резервный фонд Правительства РС(Я) на предупреждение и ликвидацию чрезвычайных ситуаций и последствий стихийных бедствий</t>
  </si>
  <si>
    <t>0700402</t>
  </si>
  <si>
    <t>017</t>
  </si>
  <si>
    <t xml:space="preserve">Транспорт                                                            </t>
  </si>
  <si>
    <t>08</t>
  </si>
  <si>
    <t>Отдельные мероприятия в области автомобильного транспорта</t>
  </si>
  <si>
    <t>303 02 00</t>
  </si>
  <si>
    <t>Дорожное хозяйство</t>
  </si>
  <si>
    <t>Содержание автомобильных  дорог общего пользования</t>
  </si>
  <si>
    <t>315 01 02</t>
  </si>
  <si>
    <t>Другие вопросы в области национальной экономики</t>
  </si>
  <si>
    <t>Оценка недвижимости, признание прав  и регулирование отношений по государственной  и муниципальной собственности</t>
  </si>
  <si>
    <t>0900200</t>
  </si>
  <si>
    <t>0929900</t>
  </si>
  <si>
    <t>Мероприятия по землеустройству и землепользованию</t>
  </si>
  <si>
    <t>340 03 00</t>
  </si>
  <si>
    <t>Подпрограмма "Развитие предпринимательства в Республике Саха (Якутия) на 2009-2011 годы"</t>
  </si>
  <si>
    <t>5220501</t>
  </si>
  <si>
    <t>Республиканская целевая программа «Государственная поддержка местного самоуправления на 2009-2011 годы»</t>
  </si>
  <si>
    <t>5221300</t>
  </si>
  <si>
    <t>Жилищно-коммунальное хозяйство</t>
  </si>
  <si>
    <t>Жилищное хозяйство</t>
  </si>
  <si>
    <t>Финансирование работ по капитальному ремонту жилищного фонда</t>
  </si>
  <si>
    <t>10</t>
  </si>
  <si>
    <t>5210151</t>
  </si>
  <si>
    <t>Другие вопросы в области жилищно-коммунального хозяйства</t>
  </si>
  <si>
    <t>Обеспечение деятельности служб по начислению гражданам субсидий на оплату жилого помещения и коммунальных услуг</t>
  </si>
  <si>
    <t>5210301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</si>
  <si>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</si>
  <si>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</si>
  <si>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</si>
  <si>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</si>
  <si>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>Образование</t>
  </si>
  <si>
    <t>Дошкольное образование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</si>
  <si>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</si>
  <si>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</si>
  <si>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</si>
  <si>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</si>
  <si>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</si>
  <si>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</si>
  <si>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>Детские дошкольные учреждения</t>
  </si>
  <si>
    <t>420 00 00</t>
  </si>
  <si>
    <t>420 99 00</t>
  </si>
  <si>
    <t>Субсидии бюджетным учреждениям на возмещение нормативных затрат, связанных с оказанием ими государственных (муниципальных) услуг (выполнением работ)</t>
  </si>
  <si>
    <t>060</t>
  </si>
  <si>
    <t>Субсидии на предоставление льгот по коммунальным услугам педагогическим работникам образовательных учреждений</t>
  </si>
  <si>
    <t>5210161</t>
  </si>
  <si>
    <t>Ведомственная целевая программа "Безопасность образовательных учреждений Республики Саха (Якутия) на 2010-2012 годы"</t>
  </si>
  <si>
    <t>6220400</t>
  </si>
  <si>
    <t>Общее образование</t>
  </si>
  <si>
    <t>Общее образование дотация</t>
  </si>
  <si>
    <t>400 00 00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</si>
  <si>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</si>
  <si>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</si>
  <si>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</si>
  <si>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</si>
  <si>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</si>
  <si>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</si>
  <si>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Модернизация региональных систем общего образования</t>
  </si>
  <si>
    <t>4362100</t>
  </si>
  <si>
    <t xml:space="preserve">Межбюджетные трансферты
</t>
  </si>
  <si>
    <t>5210000</t>
  </si>
  <si>
    <t>Ежемесячное денежное вознаграждение за классное руководство</t>
  </si>
  <si>
    <t>5200900</t>
  </si>
  <si>
    <t>Субсидии бюджетным учреждениям, за исключением субсидий на возмещение нормативных затрат, связанных с оказанием ими государственных (муниципальных) услуг (выполнением работ) и бюджетных инвестиций</t>
  </si>
  <si>
    <t>061</t>
  </si>
  <si>
    <t>Финансирование работ по капитальному ремонту учреждений бюджетной сферы</t>
  </si>
  <si>
    <t>5210154</t>
  </si>
  <si>
    <t>Субвенции на обеспечение деятельности специальных (коррекционных) образовательных учреждений для детей с ограниченными возможностями здоровья и образовательных учреждений санаторного типа для детей, нуждающихся в длительном лечении</t>
  </si>
  <si>
    <t>5210239</t>
  </si>
  <si>
    <t>Расходы на реализацию государственного стандарта общего образования</t>
  </si>
  <si>
    <t>521 02 10</t>
  </si>
  <si>
    <t>Расходы на реализацию государственного стандарта общего образования школ - детских садов, школ начальных, неполных средних и средних</t>
  </si>
  <si>
    <t>521 02 11</t>
  </si>
  <si>
    <t xml:space="preserve">Расходы на финансирование образовательных учреждений для детей-сирот и детей, оставшихся без попечения родителей </t>
  </si>
  <si>
    <t>521 02 26</t>
  </si>
  <si>
    <t>Ведомственная целевая программа «Обеспечение пожарной безопасности на объектах культуры и искусства Республики Саха (Якутия) на 2007-2010 годы"</t>
  </si>
  <si>
    <t>6220200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</si>
  <si>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</si>
  <si>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</si>
  <si>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</si>
  <si>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Оздоровление детей</t>
  </si>
  <si>
    <t>4320200</t>
  </si>
  <si>
    <t>Проведение оздоровительных и других мероприятий для детей и молодежи</t>
  </si>
  <si>
    <t>447</t>
  </si>
  <si>
    <t>Оздоровление детей (за исключением детей, находящихся в трудной жизненной ситуации)</t>
  </si>
  <si>
    <t>4320300</t>
  </si>
  <si>
    <t xml:space="preserve">Оздоровление детей </t>
  </si>
  <si>
    <t>432 99 00</t>
  </si>
  <si>
    <t>Подпрограмма "Организация летнего отдыха и оздоровления детей"</t>
  </si>
  <si>
    <t>5221702</t>
  </si>
  <si>
    <t>Республиканская целевая программа "Патриотическое воспитание граждан в Республике Саха (Якутия) на 2009-2011 годы"</t>
  </si>
  <si>
    <t>5221800</t>
  </si>
  <si>
    <t>Целевая муниципальная программа "Гражданско-патриотическое воспитание молодежи"</t>
  </si>
  <si>
    <t>795 00 00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</si>
  <si>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</si>
  <si>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</si>
  <si>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435 00 00</t>
  </si>
  <si>
    <t>435 99 00</t>
  </si>
  <si>
    <t>Проведение мероприятий для детей и молодежи</t>
  </si>
  <si>
    <t>4360900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</si>
  <si>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</si>
  <si>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</si>
  <si>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</si>
  <si>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</si>
  <si>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</si>
  <si>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440 00 00</t>
  </si>
  <si>
    <t>440 99 00</t>
  </si>
  <si>
    <t>Библиотеки</t>
  </si>
  <si>
    <t>442 00 00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</si>
  <si>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</si>
  <si>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</si>
  <si>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442 99 00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</si>
  <si>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</si>
  <si>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</si>
  <si>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</si>
  <si>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0923200</t>
  </si>
  <si>
    <t>Реализация программ модернизации здравоохранения  субъектов Российской Федерации в части укрепления материально-технической базы медицинских учреждений</t>
  </si>
  <si>
    <t>0960100</t>
  </si>
  <si>
    <t>Больницы, клиники, госпитали, медико-санитарные части</t>
  </si>
  <si>
    <t>470 00 00</t>
  </si>
  <si>
    <t>470 99 00</t>
  </si>
  <si>
    <t>Расходы на выполнение отдельных государственных полномочий в области оказания противотуберкулезной помощи населению</t>
  </si>
  <si>
    <t>5210249</t>
  </si>
  <si>
    <t>Ведомственная целевая программа "Безопасность учреждений здравоохранения Республики Саха (Якутия) на 2010-2012 годы"</t>
  </si>
  <si>
    <t>6220300</t>
  </si>
  <si>
    <t>Амбулаторная помощь</t>
  </si>
  <si>
    <t>Поликлиники, амбулатории, диагностические центры</t>
  </si>
  <si>
    <t>4719900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</si>
  <si>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</si>
  <si>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</si>
  <si>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</si>
  <si>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</si>
  <si>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</si>
  <si>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</si>
  <si>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</si>
  <si>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</si>
  <si>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</si>
  <si>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</si>
  <si>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Ежемесячные доплаты к трудовой пенсии лицам, замещавшим муниципальные должности и муниципальные должности муниципальной службы</t>
  </si>
  <si>
    <t>491 01 02</t>
  </si>
  <si>
    <t>Социальные выплаты</t>
  </si>
  <si>
    <t>005</t>
  </si>
  <si>
    <t>Социальное обеспечение населения</t>
  </si>
  <si>
    <t>Подпрограмма "Обеспечение жильем молодых семей"</t>
  </si>
  <si>
    <t>Предоставление гражданам субсидий на оплату жилого помещения  и коммунальных услуг</t>
  </si>
  <si>
    <t>Обеспечение жилыми помещениями детей-сирот и детей, оставшихся без попечения родителей, и лиц из их числа</t>
  </si>
  <si>
    <t xml:space="preserve">Иные виды социальной помощи </t>
  </si>
  <si>
    <t xml:space="preserve">Бесплатное обеспечение лекарственными средствами и изделиями медицинского назначения отдельных категорий населения </t>
  </si>
  <si>
    <t>521 02 21</t>
  </si>
  <si>
    <t xml:space="preserve">Бесплатное питание детей в возрасте до 3 лет </t>
  </si>
  <si>
    <t>521 02 22</t>
  </si>
  <si>
    <t>Оплата проезда граждан Республики Саха (Якутия) к месту лечения в республиканские специализированные медицинские учреждения и обратно</t>
  </si>
  <si>
    <t>521 02 24</t>
  </si>
  <si>
    <t>Охрана семьи и детства</t>
  </si>
  <si>
    <t>Социальная помощь</t>
  </si>
  <si>
    <t>505 00 00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</si>
  <si>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</si>
  <si>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</si>
  <si>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Иные безвозмездные и безвозвратные перечисления</t>
  </si>
  <si>
    <t>520 00 00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</si>
  <si>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</si>
  <si>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</si>
  <si>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Выплаты семьям опекунов на содержание подопечных детей</t>
  </si>
  <si>
    <t>520 13 20</t>
  </si>
  <si>
    <t>521 00 00</t>
  </si>
  <si>
    <t>Расходы на обеспечение проезда детей-сирот и детей, оставшихся без попечения родителей, обучающихся в муниципальных образовательных учреждениях</t>
  </si>
  <si>
    <t>521 02 27</t>
  </si>
  <si>
    <t>Расходы на санаторно-курортное лечение детей-сирот и детей, оставшихся без попечения родителей</t>
  </si>
  <si>
    <t>521 02 35</t>
  </si>
  <si>
    <t>Расходы на содержание органов по опеке и попечительству</t>
  </si>
  <si>
    <t>Другие вопросы в области социальной политики</t>
  </si>
  <si>
    <t>Расходы на выполнение отдельных государственных полномочий в области охраны труда</t>
  </si>
  <si>
    <t>521 02 32</t>
  </si>
  <si>
    <t>Расходы на выполнение отдельных государственных полномочий по исполнению функций комиссий по делам несовершеннолетних</t>
  </si>
  <si>
    <t>521 02 33</t>
  </si>
  <si>
    <t>Физическая культура и спорт</t>
  </si>
  <si>
    <t>00</t>
  </si>
  <si>
    <t xml:space="preserve">Мероприятия в области здравоохранения, спорта и физической культуры, туризма </t>
  </si>
  <si>
    <t>512 97 00</t>
  </si>
  <si>
    <t>Межбюджетные трансферты</t>
  </si>
  <si>
    <t>14</t>
  </si>
  <si>
    <t>Дотации бюджетам субъектов Российской Федерации 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</si>
  <si>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</si>
  <si>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516 01 30</t>
  </si>
  <si>
    <t>Фонд финансовой поддержки</t>
  </si>
  <si>
    <t>008</t>
  </si>
  <si>
    <t>5170200</t>
  </si>
  <si>
    <t xml:space="preserve">Прочие дотации </t>
  </si>
  <si>
    <t>007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</si>
  <si>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</si>
  <si>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</si>
  <si>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</si>
  <si>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Иные межбюджетные трансферты местным бюджетам</t>
  </si>
  <si>
    <t>5210399</t>
  </si>
  <si>
    <t xml:space="preserve">Председатель Алданского </t>
  </si>
  <si>
    <t xml:space="preserve">                           районного Совета</t>
  </si>
  <si>
    <t>С.П.Жаворонков</t>
  </si>
  <si>
    <t xml:space="preserve">Приложение 3   </t>
  </si>
  <si>
    <t>к решению Алданского районного Совета РС (Я)</t>
  </si>
  <si>
    <t>"О внесении изменений в решение Алданского районного Совета РС (Я)</t>
  </si>
  <si>
    <t xml:space="preserve">"О бюджете муниципального образования </t>
  </si>
  <si>
    <t>"Алданский район" на 2010 год"</t>
  </si>
  <si>
    <t>Приложение 5</t>
  </si>
  <si>
    <t xml:space="preserve">Источники внутреннего финансирования дефицита бюджета муниципального </t>
  </si>
  <si>
    <t>образования"Алданский район" на 2011 год</t>
  </si>
  <si>
    <t>(тыс.руб)</t>
  </si>
  <si>
    <t>Код классификации источников финансирования дефицитов бюджетов</t>
  </si>
  <si>
    <t>Источники внутреннего финансирования дефицита бюджета</t>
  </si>
  <si>
    <t>01 05 02 00 00 0000 500</t>
  </si>
  <si>
    <t xml:space="preserve">Увеличение прочих остатков средств бюджета </t>
  </si>
  <si>
    <t>01 05 02 00 00 0000 600</t>
  </si>
  <si>
    <t>Уменьшение прочих остатков средств бюджета</t>
  </si>
  <si>
    <t>итого</t>
  </si>
  <si>
    <t>районного Совета:</t>
  </si>
  <si>
    <t>Жаворонков С.П.</t>
  </si>
  <si>
    <t>2 02 04999 05 0000 151</t>
  </si>
  <si>
    <t>Иные МТБ на организацию, участие в семинаре</t>
  </si>
  <si>
    <t>5201500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</si>
  <si>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</si>
  <si>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от 23.11.2011 №  28-2 </t>
  </si>
  <si>
    <t xml:space="preserve">"Алданский район" на 2011 год" от 23.11.2011 № 28-2  </t>
  </si>
  <si>
    <t xml:space="preserve">от 23.11.2011 №28-2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</si>
</sst>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#,##0.00000"/>
    <numFmt numFmtId="169" formatCode="#,##0.0000"/>
    <numFmt numFmtId="170" formatCode="0.0000"/>
    <numFmt numFmtId="171" formatCode="0.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1" fillId="0" borderId="0" xfId="53" applyFont="1">
      <alignment/>
      <protection/>
    </xf>
    <xf numFmtId="0" fontId="21" fillId="0" borderId="0" xfId="53" applyFont="1" applyAlignment="1">
      <alignment horizontal="right"/>
      <protection/>
    </xf>
    <xf numFmtId="0" fontId="14" fillId="0" borderId="0" xfId="53" applyFont="1">
      <alignment/>
      <protection/>
    </xf>
    <xf numFmtId="0" fontId="21" fillId="24" borderId="0" xfId="53" applyFont="1" applyFill="1" applyAlignment="1">
      <alignment horizontal="right"/>
      <protection/>
    </xf>
    <xf numFmtId="0" fontId="14" fillId="0" borderId="0" xfId="53" applyFont="1" applyBorder="1">
      <alignment/>
      <protection/>
    </xf>
    <xf numFmtId="0" fontId="21" fillId="0" borderId="0" xfId="53" applyFont="1" applyAlignment="1">
      <alignment horizontal="center"/>
      <protection/>
    </xf>
    <xf numFmtId="0" fontId="14" fillId="24" borderId="0" xfId="53" applyFont="1" applyFill="1">
      <alignment/>
      <protection/>
    </xf>
    <xf numFmtId="0" fontId="22" fillId="0" borderId="0" xfId="53" applyFont="1">
      <alignment/>
      <protection/>
    </xf>
    <xf numFmtId="0" fontId="21" fillId="0" borderId="10" xfId="53" applyFont="1" applyBorder="1" applyAlignment="1">
      <alignment horizontal="center"/>
      <protection/>
    </xf>
    <xf numFmtId="0" fontId="21" fillId="0" borderId="10" xfId="53" applyFont="1" applyBorder="1" applyAlignment="1">
      <alignment wrapText="1"/>
      <protection/>
    </xf>
    <xf numFmtId="0" fontId="21" fillId="0" borderId="10" xfId="53" applyFont="1" applyBorder="1" applyAlignment="1">
      <alignment/>
      <protection/>
    </xf>
    <xf numFmtId="0" fontId="14" fillId="0" borderId="0" xfId="54" applyFont="1" applyAlignment="1">
      <alignment horizontal="right"/>
      <protection/>
    </xf>
    <xf numFmtId="0" fontId="28" fillId="0" borderId="0" xfId="0" applyFont="1" applyAlignment="1">
      <alignment horizontal="right"/>
    </xf>
    <xf numFmtId="0" fontId="23" fillId="0" borderId="10" xfId="53" applyFont="1" applyBorder="1" applyAlignment="1">
      <alignment horizontal="center"/>
      <protection/>
    </xf>
    <xf numFmtId="0" fontId="23" fillId="24" borderId="10" xfId="53" applyFont="1" applyFill="1" applyBorder="1" applyAlignment="1">
      <alignment horizontal="center"/>
      <protection/>
    </xf>
    <xf numFmtId="0" fontId="14" fillId="24" borderId="10" xfId="53" applyFont="1" applyFill="1" applyBorder="1" applyAlignment="1">
      <alignment horizontal="center"/>
      <protection/>
    </xf>
    <xf numFmtId="0" fontId="22" fillId="0" borderId="10" xfId="53" applyFont="1" applyBorder="1">
      <alignment/>
      <protection/>
    </xf>
    <xf numFmtId="4" fontId="22" fillId="0" borderId="10" xfId="53" applyNumberFormat="1" applyFont="1" applyBorder="1">
      <alignment/>
      <protection/>
    </xf>
    <xf numFmtId="164" fontId="22" fillId="0" borderId="10" xfId="53" applyNumberFormat="1" applyFont="1" applyBorder="1">
      <alignment/>
      <protection/>
    </xf>
    <xf numFmtId="164" fontId="22" fillId="24" borderId="10" xfId="53" applyNumberFormat="1" applyFont="1" applyFill="1" applyBorder="1">
      <alignment/>
      <protection/>
    </xf>
    <xf numFmtId="0" fontId="24" fillId="0" borderId="0" xfId="53" applyFont="1">
      <alignment/>
      <protection/>
    </xf>
    <xf numFmtId="0" fontId="21" fillId="0" borderId="10" xfId="53" applyFont="1" applyBorder="1">
      <alignment/>
      <protection/>
    </xf>
    <xf numFmtId="4" fontId="21" fillId="0" borderId="10" xfId="53" applyNumberFormat="1" applyFont="1" applyBorder="1">
      <alignment/>
      <protection/>
    </xf>
    <xf numFmtId="165" fontId="21" fillId="0" borderId="10" xfId="53" applyNumberFormat="1" applyFont="1" applyBorder="1">
      <alignment/>
      <protection/>
    </xf>
    <xf numFmtId="164" fontId="21" fillId="0" borderId="10" xfId="53" applyNumberFormat="1" applyFont="1" applyBorder="1">
      <alignment/>
      <protection/>
    </xf>
    <xf numFmtId="4" fontId="22" fillId="24" borderId="10" xfId="53" applyNumberFormat="1" applyFont="1" applyFill="1" applyBorder="1">
      <alignment/>
      <protection/>
    </xf>
    <xf numFmtId="4" fontId="21" fillId="24" borderId="10" xfId="53" applyNumberFormat="1" applyFont="1" applyFill="1" applyBorder="1">
      <alignment/>
      <protection/>
    </xf>
    <xf numFmtId="166" fontId="21" fillId="0" borderId="10" xfId="53" applyNumberFormat="1" applyFont="1" applyBorder="1">
      <alignment/>
      <protection/>
    </xf>
    <xf numFmtId="0" fontId="21" fillId="24" borderId="10" xfId="53" applyFont="1" applyFill="1" applyBorder="1">
      <alignment/>
      <protection/>
    </xf>
    <xf numFmtId="0" fontId="22" fillId="24" borderId="10" xfId="53" applyFont="1" applyFill="1" applyBorder="1">
      <alignment/>
      <protection/>
    </xf>
    <xf numFmtId="167" fontId="21" fillId="24" borderId="10" xfId="53" applyNumberFormat="1" applyFont="1" applyFill="1" applyBorder="1">
      <alignment/>
      <protection/>
    </xf>
    <xf numFmtId="0" fontId="24" fillId="0" borderId="0" xfId="53" applyFont="1" applyBorder="1">
      <alignment/>
      <protection/>
    </xf>
    <xf numFmtId="164" fontId="21" fillId="24" borderId="10" xfId="53" applyNumberFormat="1" applyFont="1" applyFill="1" applyBorder="1">
      <alignment/>
      <protection/>
    </xf>
    <xf numFmtId="0" fontId="21" fillId="0" borderId="0" xfId="0" applyFont="1" applyAlignment="1">
      <alignment horizontal="justify"/>
    </xf>
    <xf numFmtId="0" fontId="22" fillId="0" borderId="10" xfId="53" applyFont="1" applyBorder="1" applyAlignment="1">
      <alignment vertical="top"/>
      <protection/>
    </xf>
    <xf numFmtId="0" fontId="25" fillId="0" borderId="10" xfId="54" applyFont="1" applyFill="1" applyBorder="1" applyAlignment="1">
      <alignment wrapText="1"/>
      <protection/>
    </xf>
    <xf numFmtId="164" fontId="22" fillId="0" borderId="10" xfId="54" applyNumberFormat="1" applyFont="1" applyFill="1" applyBorder="1" applyAlignment="1">
      <alignment horizontal="right"/>
      <protection/>
    </xf>
    <xf numFmtId="164" fontId="22" fillId="24" borderId="10" xfId="54" applyNumberFormat="1" applyFont="1" applyFill="1" applyBorder="1" applyAlignment="1">
      <alignment horizontal="right"/>
      <protection/>
    </xf>
    <xf numFmtId="168" fontId="22" fillId="24" borderId="10" xfId="54" applyNumberFormat="1" applyFont="1" applyFill="1" applyBorder="1" applyAlignment="1">
      <alignment horizontal="right"/>
      <protection/>
    </xf>
    <xf numFmtId="0" fontId="26" fillId="0" borderId="10" xfId="54" applyFont="1" applyFill="1" applyBorder="1" applyAlignment="1">
      <alignment horizontal="left" wrapText="1"/>
      <protection/>
    </xf>
    <xf numFmtId="3" fontId="21" fillId="0" borderId="10" xfId="53" applyNumberFormat="1" applyFont="1" applyBorder="1">
      <alignment/>
      <protection/>
    </xf>
    <xf numFmtId="164" fontId="26" fillId="0" borderId="10" xfId="54" applyNumberFormat="1" applyFont="1" applyFill="1" applyBorder="1" applyAlignment="1">
      <alignment horizontal="right"/>
      <protection/>
    </xf>
    <xf numFmtId="164" fontId="26" fillId="24" borderId="10" xfId="54" applyNumberFormat="1" applyFont="1" applyFill="1" applyBorder="1" applyAlignment="1">
      <alignment horizontal="right"/>
      <protection/>
    </xf>
    <xf numFmtId="0" fontId="21" fillId="25" borderId="10" xfId="54" applyFont="1" applyFill="1" applyBorder="1" applyAlignment="1">
      <alignment vertical="top" wrapText="1"/>
      <protection/>
    </xf>
    <xf numFmtId="1" fontId="21" fillId="0" borderId="10" xfId="53" applyNumberFormat="1" applyFont="1" applyBorder="1">
      <alignment/>
      <protection/>
    </xf>
    <xf numFmtId="0" fontId="22" fillId="0" borderId="10" xfId="53" applyFont="1" applyBorder="1" applyAlignment="1">
      <alignment/>
      <protection/>
    </xf>
    <xf numFmtId="167" fontId="25" fillId="0" borderId="10" xfId="54" applyNumberFormat="1" applyFont="1" applyFill="1" applyBorder="1" applyAlignment="1">
      <alignment horizontal="right"/>
      <protection/>
    </xf>
    <xf numFmtId="167" fontId="22" fillId="0" borderId="10" xfId="53" applyNumberFormat="1" applyFont="1" applyBorder="1">
      <alignment/>
      <protection/>
    </xf>
    <xf numFmtId="167" fontId="22" fillId="24" borderId="10" xfId="53" applyNumberFormat="1" applyFont="1" applyFill="1" applyBorder="1">
      <alignment/>
      <protection/>
    </xf>
    <xf numFmtId="0" fontId="26" fillId="0" borderId="10" xfId="54" applyFont="1" applyFill="1" applyBorder="1" applyAlignment="1">
      <alignment wrapText="1"/>
      <protection/>
    </xf>
    <xf numFmtId="167" fontId="26" fillId="0" borderId="10" xfId="54" applyNumberFormat="1" applyFont="1" applyFill="1" applyBorder="1" applyAlignment="1">
      <alignment horizontal="right"/>
      <protection/>
    </xf>
    <xf numFmtId="167" fontId="21" fillId="0" borderId="10" xfId="53" applyNumberFormat="1" applyFont="1" applyBorder="1">
      <alignment/>
      <protection/>
    </xf>
    <xf numFmtId="0" fontId="25" fillId="0" borderId="10" xfId="54" applyFont="1" applyFill="1" applyBorder="1" applyAlignment="1">
      <alignment horizontal="left" wrapText="1"/>
      <protection/>
    </xf>
    <xf numFmtId="164" fontId="25" fillId="0" borderId="10" xfId="54" applyNumberFormat="1" applyFont="1" applyFill="1" applyBorder="1" applyAlignment="1">
      <alignment horizontal="right"/>
      <protection/>
    </xf>
    <xf numFmtId="164" fontId="25" fillId="24" borderId="10" xfId="54" applyNumberFormat="1" applyFont="1" applyFill="1" applyBorder="1" applyAlignment="1">
      <alignment horizontal="right"/>
      <protection/>
    </xf>
    <xf numFmtId="164" fontId="21" fillId="24" borderId="10" xfId="54" applyNumberFormat="1" applyFont="1" applyFill="1" applyBorder="1" applyAlignment="1">
      <alignment horizontal="right"/>
      <protection/>
    </xf>
    <xf numFmtId="0" fontId="21" fillId="0" borderId="10" xfId="53" applyFont="1" applyFill="1" applyBorder="1">
      <alignment/>
      <protection/>
    </xf>
    <xf numFmtId="0" fontId="21" fillId="0" borderId="10" xfId="57" applyFont="1" applyFill="1" applyBorder="1" applyAlignment="1">
      <alignment horizontal="left" vertical="center" wrapText="1"/>
      <protection/>
    </xf>
    <xf numFmtId="0" fontId="21" fillId="0" borderId="10" xfId="54" applyNumberFormat="1" applyFont="1" applyFill="1" applyBorder="1" applyAlignment="1">
      <alignment vertical="center" wrapText="1"/>
      <protection/>
    </xf>
    <xf numFmtId="49" fontId="21" fillId="0" borderId="10" xfId="54" applyNumberFormat="1" applyFont="1" applyFill="1" applyBorder="1" applyAlignment="1">
      <alignment vertical="center" wrapText="1"/>
      <protection/>
    </xf>
    <xf numFmtId="0" fontId="21" fillId="0" borderId="10" xfId="53" applyFont="1" applyFill="1" applyBorder="1" applyAlignment="1">
      <alignment horizontal="left" wrapText="1"/>
      <protection/>
    </xf>
    <xf numFmtId="168" fontId="25" fillId="24" borderId="10" xfId="54" applyNumberFormat="1" applyFont="1" applyFill="1" applyBorder="1" applyAlignment="1">
      <alignment horizontal="right"/>
      <protection/>
    </xf>
    <xf numFmtId="2" fontId="21" fillId="0" borderId="10" xfId="53" applyNumberFormat="1" applyFont="1" applyBorder="1">
      <alignment/>
      <protection/>
    </xf>
    <xf numFmtId="2" fontId="21" fillId="24" borderId="10" xfId="53" applyNumberFormat="1" applyFont="1" applyFill="1" applyBorder="1">
      <alignment/>
      <protection/>
    </xf>
    <xf numFmtId="164" fontId="27" fillId="24" borderId="10" xfId="53" applyNumberFormat="1" applyFont="1" applyFill="1" applyBorder="1">
      <alignment/>
      <protection/>
    </xf>
    <xf numFmtId="164" fontId="14" fillId="0" borderId="0" xfId="53" applyNumberFormat="1" applyFont="1">
      <alignment/>
      <protection/>
    </xf>
    <xf numFmtId="164" fontId="14" fillId="24" borderId="0" xfId="53" applyNumberFormat="1" applyFont="1" applyFill="1">
      <alignment/>
      <protection/>
    </xf>
    <xf numFmtId="0" fontId="21" fillId="0" borderId="0" xfId="53" applyFont="1" applyAlignment="1">
      <alignment/>
      <protection/>
    </xf>
    <xf numFmtId="0" fontId="14" fillId="0" borderId="0" xfId="54" applyFont="1" applyFill="1">
      <alignment/>
      <protection/>
    </xf>
    <xf numFmtId="0" fontId="14" fillId="0" borderId="0" xfId="0" applyFont="1" applyAlignment="1">
      <alignment/>
    </xf>
    <xf numFmtId="0" fontId="14" fillId="0" borderId="0" xfId="54" applyFont="1">
      <alignment/>
      <protection/>
    </xf>
    <xf numFmtId="0" fontId="14" fillId="24" borderId="0" xfId="54" applyFont="1" applyFill="1" applyAlignment="1">
      <alignment horizontal="right"/>
      <protection/>
    </xf>
    <xf numFmtId="0" fontId="14" fillId="0" borderId="0" xfId="54" applyFont="1" applyFill="1" applyAlignment="1">
      <alignment horizontal="right"/>
      <protection/>
    </xf>
    <xf numFmtId="0" fontId="14" fillId="24" borderId="0" xfId="54" applyFont="1" applyFill="1" applyAlignment="1">
      <alignment horizontal="right"/>
      <protection/>
    </xf>
    <xf numFmtId="0" fontId="14" fillId="0" borderId="0" xfId="54" applyFont="1" applyFill="1" applyAlignment="1">
      <alignment horizontal="right"/>
      <protection/>
    </xf>
    <xf numFmtId="0" fontId="28" fillId="0" borderId="0" xfId="0" applyFont="1" applyFill="1" applyAlignment="1">
      <alignment horizontal="right"/>
    </xf>
    <xf numFmtId="0" fontId="14" fillId="24" borderId="0" xfId="0" applyFont="1" applyFill="1" applyAlignment="1">
      <alignment/>
    </xf>
    <xf numFmtId="49" fontId="24" fillId="0" borderId="0" xfId="54" applyNumberFormat="1" applyFont="1" applyFill="1" applyAlignment="1">
      <alignment horizontal="center"/>
      <protection/>
    </xf>
    <xf numFmtId="49" fontId="24" fillId="24" borderId="0" xfId="54" applyNumberFormat="1" applyFont="1" applyFill="1" applyAlignment="1">
      <alignment horizontal="center"/>
      <protection/>
    </xf>
    <xf numFmtId="49" fontId="24" fillId="0" borderId="0" xfId="54" applyNumberFormat="1" applyFont="1" applyFill="1" applyAlignment="1">
      <alignment horizontal="center"/>
      <protection/>
    </xf>
    <xf numFmtId="0" fontId="14" fillId="0" borderId="0" xfId="0" applyFont="1" applyFill="1" applyAlignment="1">
      <alignment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24" fillId="0" borderId="0" xfId="54" applyNumberFormat="1" applyFont="1" applyFill="1" applyAlignment="1" quotePrefix="1">
      <alignment vertical="center" wrapText="1"/>
      <protection/>
    </xf>
    <xf numFmtId="49" fontId="24" fillId="0" borderId="0" xfId="54" applyNumberFormat="1" applyFont="1" applyFill="1" applyAlignment="1" quotePrefix="1">
      <alignment wrapText="1"/>
      <protection/>
    </xf>
    <xf numFmtId="0" fontId="24" fillId="0" borderId="0" xfId="54" applyFont="1" applyFill="1" applyAlignment="1">
      <alignment wrapText="1"/>
      <protection/>
    </xf>
    <xf numFmtId="0" fontId="24" fillId="24" borderId="10" xfId="54" applyNumberFormat="1" applyFont="1" applyFill="1" applyBorder="1" applyAlignment="1">
      <alignment horizontal="center" vertical="center" wrapText="1"/>
      <protection/>
    </xf>
    <xf numFmtId="0" fontId="24" fillId="24" borderId="10" xfId="54" applyFont="1" applyFill="1" applyBorder="1" applyAlignment="1">
      <alignment horizontal="center" wrapText="1"/>
      <protection/>
    </xf>
    <xf numFmtId="0" fontId="24" fillId="24" borderId="10" xfId="54" applyNumberFormat="1" applyFont="1" applyFill="1" applyBorder="1" applyAlignment="1">
      <alignment horizontal="center" vertical="center"/>
      <protection/>
    </xf>
    <xf numFmtId="3" fontId="24" fillId="24" borderId="10" xfId="54" applyNumberFormat="1" applyFont="1" applyFill="1" applyBorder="1" applyAlignment="1">
      <alignment horizontal="center" vertical="center"/>
      <protection/>
    </xf>
    <xf numFmtId="4" fontId="24" fillId="24" borderId="10" xfId="56" applyNumberFormat="1" applyFont="1" applyFill="1" applyBorder="1" applyAlignment="1">
      <alignment horizontal="center" wrapText="1"/>
      <protection/>
    </xf>
    <xf numFmtId="4" fontId="24" fillId="0" borderId="10" xfId="56" applyNumberFormat="1" applyFont="1" applyFill="1" applyBorder="1" applyAlignment="1">
      <alignment horizontal="center" wrapText="1"/>
      <protection/>
    </xf>
    <xf numFmtId="4" fontId="24" fillId="24" borderId="10" xfId="56" applyNumberFormat="1" applyFont="1" applyFill="1" applyBorder="1" applyAlignment="1">
      <alignment horizontal="center" wrapText="1"/>
      <protection/>
    </xf>
    <xf numFmtId="4" fontId="24" fillId="0" borderId="10" xfId="56" applyNumberFormat="1" applyFont="1" applyFill="1" applyBorder="1" applyAlignment="1">
      <alignment horizontal="center" wrapText="1"/>
      <protection/>
    </xf>
    <xf numFmtId="3" fontId="24" fillId="0" borderId="10" xfId="54" applyNumberFormat="1" applyFont="1" applyFill="1" applyBorder="1" applyAlignment="1">
      <alignment horizontal="center" vertical="center"/>
      <protection/>
    </xf>
    <xf numFmtId="0" fontId="14" fillId="24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24" fillId="24" borderId="10" xfId="54" applyFont="1" applyFill="1" applyBorder="1">
      <alignment/>
      <protection/>
    </xf>
    <xf numFmtId="168" fontId="22" fillId="0" borderId="10" xfId="54" applyNumberFormat="1" applyFont="1" applyFill="1" applyBorder="1" applyAlignment="1">
      <alignment horizontal="right"/>
      <protection/>
    </xf>
    <xf numFmtId="168" fontId="22" fillId="24" borderId="10" xfId="54" applyNumberFormat="1" applyFont="1" applyFill="1" applyBorder="1" applyAlignment="1">
      <alignment horizontal="right"/>
      <protection/>
    </xf>
    <xf numFmtId="168" fontId="22" fillId="0" borderId="10" xfId="54" applyNumberFormat="1" applyFont="1" applyFill="1" applyBorder="1" applyAlignment="1">
      <alignment horizontal="right"/>
      <protection/>
    </xf>
    <xf numFmtId="0" fontId="21" fillId="0" borderId="0" xfId="0" applyFont="1" applyAlignment="1">
      <alignment/>
    </xf>
    <xf numFmtId="0" fontId="24" fillId="24" borderId="10" xfId="54" applyFont="1" applyFill="1" applyBorder="1" applyAlignment="1">
      <alignment vertical="top" wrapText="1"/>
      <protection/>
    </xf>
    <xf numFmtId="49" fontId="24" fillId="24" borderId="10" xfId="54" applyNumberFormat="1" applyFont="1" applyFill="1" applyBorder="1" applyAlignment="1">
      <alignment horizontal="center" wrapText="1"/>
      <protection/>
    </xf>
    <xf numFmtId="0" fontId="14" fillId="24" borderId="10" xfId="54" applyFont="1" applyFill="1" applyBorder="1" applyAlignment="1">
      <alignment vertical="top" wrapText="1"/>
      <protection/>
    </xf>
    <xf numFmtId="49" fontId="14" fillId="24" borderId="10" xfId="54" applyNumberFormat="1" applyFont="1" applyFill="1" applyBorder="1" applyAlignment="1">
      <alignment horizontal="center" wrapText="1"/>
      <protection/>
    </xf>
    <xf numFmtId="168" fontId="21" fillId="24" borderId="10" xfId="54" applyNumberFormat="1" applyFont="1" applyFill="1" applyBorder="1" applyAlignment="1">
      <alignment horizontal="right"/>
      <protection/>
    </xf>
    <xf numFmtId="168" fontId="21" fillId="0" borderId="10" xfId="54" applyNumberFormat="1" applyFont="1" applyFill="1" applyBorder="1" applyAlignment="1">
      <alignment horizontal="right"/>
      <protection/>
    </xf>
    <xf numFmtId="168" fontId="21" fillId="24" borderId="10" xfId="54" applyNumberFormat="1" applyFont="1" applyFill="1" applyBorder="1" applyAlignment="1">
      <alignment horizontal="right"/>
      <protection/>
    </xf>
    <xf numFmtId="168" fontId="21" fillId="0" borderId="10" xfId="54" applyNumberFormat="1" applyFont="1" applyFill="1" applyBorder="1" applyAlignment="1">
      <alignment horizontal="right"/>
      <protection/>
    </xf>
    <xf numFmtId="168" fontId="21" fillId="24" borderId="10" xfId="0" applyNumberFormat="1" applyFont="1" applyFill="1" applyBorder="1" applyAlignment="1">
      <alignment/>
    </xf>
    <xf numFmtId="168" fontId="21" fillId="0" borderId="10" xfId="0" applyNumberFormat="1" applyFont="1" applyFill="1" applyBorder="1" applyAlignment="1">
      <alignment/>
    </xf>
    <xf numFmtId="168" fontId="21" fillId="24" borderId="10" xfId="0" applyNumberFormat="1" applyFont="1" applyFill="1" applyBorder="1" applyAlignment="1">
      <alignment/>
    </xf>
    <xf numFmtId="168" fontId="21" fillId="0" borderId="10" xfId="0" applyNumberFormat="1" applyFont="1" applyFill="1" applyBorder="1" applyAlignment="1">
      <alignment/>
    </xf>
    <xf numFmtId="0" fontId="24" fillId="24" borderId="10" xfId="56" applyFont="1" applyFill="1" applyBorder="1" applyAlignment="1">
      <alignment wrapText="1"/>
      <protection/>
    </xf>
    <xf numFmtId="0" fontId="14" fillId="24" borderId="10" xfId="56" applyFont="1" applyFill="1" applyBorder="1" applyAlignment="1">
      <alignment wrapText="1"/>
      <protection/>
    </xf>
    <xf numFmtId="168" fontId="22" fillId="24" borderId="10" xfId="56" applyNumberFormat="1" applyFont="1" applyFill="1" applyBorder="1">
      <alignment/>
      <protection/>
    </xf>
    <xf numFmtId="168" fontId="22" fillId="0" borderId="10" xfId="56" applyNumberFormat="1" applyFont="1" applyFill="1" applyBorder="1">
      <alignment/>
      <protection/>
    </xf>
    <xf numFmtId="0" fontId="24" fillId="0" borderId="0" xfId="0" applyFont="1" applyAlignment="1">
      <alignment vertical="center" wrapText="1"/>
    </xf>
    <xf numFmtId="168" fontId="22" fillId="24" borderId="10" xfId="0" applyNumberFormat="1" applyFont="1" applyFill="1" applyBorder="1" applyAlignment="1">
      <alignment/>
    </xf>
    <xf numFmtId="168" fontId="22" fillId="0" borderId="10" xfId="0" applyNumberFormat="1" applyFont="1" applyFill="1" applyBorder="1" applyAlignment="1">
      <alignment/>
    </xf>
    <xf numFmtId="168" fontId="22" fillId="24" borderId="10" xfId="0" applyNumberFormat="1" applyFont="1" applyFill="1" applyBorder="1" applyAlignment="1">
      <alignment/>
    </xf>
    <xf numFmtId="168" fontId="22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49" fontId="14" fillId="0" borderId="10" xfId="0" applyNumberFormat="1" applyFont="1" applyFill="1" applyBorder="1" applyAlignment="1">
      <alignment vertical="top" wrapText="1"/>
    </xf>
    <xf numFmtId="168" fontId="22" fillId="24" borderId="10" xfId="54" applyNumberFormat="1" applyFont="1" applyFill="1" applyBorder="1">
      <alignment/>
      <protection/>
    </xf>
    <xf numFmtId="168" fontId="22" fillId="0" borderId="10" xfId="54" applyNumberFormat="1" applyFont="1" applyFill="1" applyBorder="1">
      <alignment/>
      <protection/>
    </xf>
    <xf numFmtId="168" fontId="22" fillId="24" borderId="10" xfId="54" applyNumberFormat="1" applyFont="1" applyFill="1" applyBorder="1">
      <alignment/>
      <protection/>
    </xf>
    <xf numFmtId="168" fontId="22" fillId="0" borderId="10" xfId="54" applyNumberFormat="1" applyFont="1" applyFill="1" applyBorder="1">
      <alignment/>
      <protection/>
    </xf>
    <xf numFmtId="168" fontId="21" fillId="24" borderId="10" xfId="54" applyNumberFormat="1" applyFont="1" applyFill="1" applyBorder="1">
      <alignment/>
      <protection/>
    </xf>
    <xf numFmtId="168" fontId="21" fillId="0" borderId="10" xfId="54" applyNumberFormat="1" applyFont="1" applyFill="1" applyBorder="1">
      <alignment/>
      <protection/>
    </xf>
    <xf numFmtId="168" fontId="21" fillId="24" borderId="10" xfId="54" applyNumberFormat="1" applyFont="1" applyFill="1" applyBorder="1">
      <alignment/>
      <protection/>
    </xf>
    <xf numFmtId="168" fontId="21" fillId="0" borderId="10" xfId="54" applyNumberFormat="1" applyFont="1" applyFill="1" applyBorder="1">
      <alignment/>
      <protection/>
    </xf>
    <xf numFmtId="49" fontId="14" fillId="24" borderId="10" xfId="0" applyNumberFormat="1" applyFont="1" applyFill="1" applyBorder="1" applyAlignment="1">
      <alignment vertical="top" wrapText="1"/>
    </xf>
    <xf numFmtId="49" fontId="14" fillId="26" borderId="10" xfId="0" applyNumberFormat="1" applyFont="1" applyFill="1" applyBorder="1" applyAlignment="1">
      <alignment vertical="top" wrapText="1"/>
    </xf>
    <xf numFmtId="49" fontId="14" fillId="27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168" fontId="21" fillId="0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wrapText="1"/>
    </xf>
    <xf numFmtId="0" fontId="24" fillId="0" borderId="11" xfId="0" applyFont="1" applyBorder="1" applyAlignment="1">
      <alignment wrapText="1"/>
    </xf>
    <xf numFmtId="49" fontId="14" fillId="27" borderId="12" xfId="56" applyNumberFormat="1" applyFont="1" applyFill="1" applyBorder="1" applyAlignment="1">
      <alignment vertical="top" wrapText="1"/>
      <protection/>
    </xf>
    <xf numFmtId="49" fontId="14" fillId="0" borderId="10" xfId="54" applyNumberFormat="1" applyFont="1" applyFill="1" applyBorder="1" applyAlignment="1">
      <alignment horizontal="center" wrapText="1"/>
      <protection/>
    </xf>
    <xf numFmtId="0" fontId="14" fillId="0" borderId="11" xfId="56" applyFont="1" applyBorder="1" applyAlignment="1">
      <alignment wrapText="1"/>
      <protection/>
    </xf>
    <xf numFmtId="0" fontId="29" fillId="24" borderId="10" xfId="54" applyFont="1" applyFill="1" applyBorder="1" applyAlignment="1">
      <alignment vertical="top" wrapText="1"/>
      <protection/>
    </xf>
    <xf numFmtId="49" fontId="0" fillId="27" borderId="10" xfId="0" applyNumberFormat="1" applyFont="1" applyFill="1" applyBorder="1" applyAlignment="1">
      <alignment vertical="top" wrapText="1"/>
    </xf>
    <xf numFmtId="49" fontId="14" fillId="0" borderId="13" xfId="0" applyNumberFormat="1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vertical="top" wrapText="1"/>
    </xf>
    <xf numFmtId="49" fontId="24" fillId="26" borderId="10" xfId="0" applyNumberFormat="1" applyFont="1" applyFill="1" applyBorder="1" applyAlignment="1">
      <alignment vertical="top" wrapText="1"/>
    </xf>
    <xf numFmtId="168" fontId="21" fillId="28" borderId="10" xfId="0" applyNumberFormat="1" applyFont="1" applyFill="1" applyBorder="1" applyAlignment="1">
      <alignment/>
    </xf>
    <xf numFmtId="49" fontId="30" fillId="24" borderId="10" xfId="54" applyNumberFormat="1" applyFont="1" applyFill="1" applyBorder="1" applyAlignment="1">
      <alignment horizontal="center" wrapText="1"/>
      <protection/>
    </xf>
    <xf numFmtId="0" fontId="14" fillId="0" borderId="10" xfId="54" applyFont="1" applyFill="1" applyBorder="1" applyAlignment="1">
      <alignment vertical="top" wrapText="1"/>
      <protection/>
    </xf>
    <xf numFmtId="49" fontId="14" fillId="0" borderId="15" xfId="0" applyNumberFormat="1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vertical="top" wrapText="1"/>
    </xf>
    <xf numFmtId="168" fontId="21" fillId="24" borderId="10" xfId="56" applyNumberFormat="1" applyFont="1" applyFill="1" applyBorder="1">
      <alignment/>
      <protection/>
    </xf>
    <xf numFmtId="168" fontId="21" fillId="0" borderId="10" xfId="56" applyNumberFormat="1" applyFont="1" applyFill="1" applyBorder="1">
      <alignment/>
      <protection/>
    </xf>
    <xf numFmtId="168" fontId="21" fillId="24" borderId="10" xfId="56" applyNumberFormat="1" applyFont="1" applyFill="1" applyBorder="1">
      <alignment/>
      <protection/>
    </xf>
    <xf numFmtId="168" fontId="21" fillId="0" borderId="10" xfId="56" applyNumberFormat="1" applyFont="1" applyFill="1" applyBorder="1">
      <alignment/>
      <protection/>
    </xf>
    <xf numFmtId="0" fontId="32" fillId="24" borderId="10" xfId="56" applyFont="1" applyFill="1" applyBorder="1" applyAlignment="1">
      <alignment horizontal="left" wrapText="1"/>
      <protection/>
    </xf>
    <xf numFmtId="0" fontId="14" fillId="24" borderId="10" xfId="54" applyFont="1" applyFill="1" applyBorder="1" applyAlignment="1">
      <alignment horizontal="center" wrapText="1"/>
      <protection/>
    </xf>
    <xf numFmtId="0" fontId="14" fillId="24" borderId="10" xfId="0" applyFont="1" applyFill="1" applyBorder="1" applyAlignment="1">
      <alignment wrapText="1"/>
    </xf>
    <xf numFmtId="0" fontId="14" fillId="24" borderId="10" xfId="54" applyFont="1" applyFill="1" applyBorder="1" applyAlignment="1">
      <alignment wrapText="1"/>
      <protection/>
    </xf>
    <xf numFmtId="0" fontId="14" fillId="25" borderId="10" xfId="54" applyFont="1" applyFill="1" applyBorder="1" applyAlignment="1">
      <alignment vertical="top" wrapText="1"/>
      <protection/>
    </xf>
    <xf numFmtId="0" fontId="14" fillId="0" borderId="10" xfId="56" applyFont="1" applyBorder="1" applyAlignment="1">
      <alignment wrapText="1"/>
      <protection/>
    </xf>
    <xf numFmtId="0" fontId="24" fillId="0" borderId="0" xfId="0" applyFont="1" applyAlignment="1">
      <alignment wrapText="1"/>
    </xf>
    <xf numFmtId="0" fontId="14" fillId="24" borderId="10" xfId="54" applyFont="1" applyFill="1" applyBorder="1">
      <alignment/>
      <protection/>
    </xf>
    <xf numFmtId="164" fontId="14" fillId="0" borderId="0" xfId="54" applyNumberFormat="1" applyFont="1">
      <alignment/>
      <protection/>
    </xf>
    <xf numFmtId="0" fontId="14" fillId="0" borderId="0" xfId="54" applyFont="1" applyFill="1" applyAlignment="1">
      <alignment horizontal="center" wrapText="1"/>
      <protection/>
    </xf>
    <xf numFmtId="49" fontId="14" fillId="0" borderId="0" xfId="54" applyNumberFormat="1" applyFont="1" applyFill="1" applyAlignment="1">
      <alignment horizontal="center"/>
      <protection/>
    </xf>
    <xf numFmtId="49" fontId="14" fillId="0" borderId="0" xfId="54" applyNumberFormat="1" applyFont="1" applyFill="1">
      <alignment/>
      <protection/>
    </xf>
    <xf numFmtId="0" fontId="14" fillId="0" borderId="0" xfId="54" applyFont="1" applyFill="1" applyAlignment="1">
      <alignment horizontal="left" wrapText="1"/>
      <protection/>
    </xf>
    <xf numFmtId="0" fontId="14" fillId="0" borderId="0" xfId="56" applyFont="1">
      <alignment/>
      <protection/>
    </xf>
    <xf numFmtId="168" fontId="14" fillId="24" borderId="0" xfId="0" applyNumberFormat="1" applyFont="1" applyFill="1" applyAlignment="1">
      <alignment/>
    </xf>
    <xf numFmtId="167" fontId="14" fillId="0" borderId="0" xfId="0" applyNumberFormat="1" applyFont="1" applyAlignment="1">
      <alignment/>
    </xf>
    <xf numFmtId="164" fontId="30" fillId="0" borderId="0" xfId="56" applyNumberFormat="1" applyFont="1">
      <alignment/>
      <protection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55" applyNumberFormat="1" applyFont="1" applyFill="1" applyAlignment="1">
      <alignment horizontal="right"/>
      <protection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/>
    </xf>
    <xf numFmtId="168" fontId="14" fillId="0" borderId="21" xfId="0" applyNumberFormat="1" applyFont="1" applyBorder="1" applyAlignment="1">
      <alignment/>
    </xf>
    <xf numFmtId="164" fontId="22" fillId="0" borderId="0" xfId="54" applyNumberFormat="1" applyFont="1" applyFill="1" applyBorder="1" applyAlignment="1">
      <alignment horizontal="right"/>
      <protection/>
    </xf>
    <xf numFmtId="0" fontId="14" fillId="0" borderId="22" xfId="0" applyFont="1" applyBorder="1" applyAlignment="1">
      <alignment/>
    </xf>
    <xf numFmtId="0" fontId="14" fillId="0" borderId="10" xfId="0" applyFont="1" applyBorder="1" applyAlignment="1">
      <alignment/>
    </xf>
    <xf numFmtId="168" fontId="14" fillId="0" borderId="23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168" fontId="24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171" fontId="14" fillId="0" borderId="0" xfId="0" applyNumberFormat="1" applyFont="1" applyBorder="1" applyAlignment="1">
      <alignment/>
    </xf>
    <xf numFmtId="171" fontId="14" fillId="0" borderId="0" xfId="0" applyNumberFormat="1" applyFont="1" applyAlignment="1">
      <alignment/>
    </xf>
    <xf numFmtId="0" fontId="14" fillId="0" borderId="0" xfId="55" applyFont="1" applyAlignment="1">
      <alignment horizontal="left" wrapText="1"/>
      <protection/>
    </xf>
    <xf numFmtId="168" fontId="14" fillId="0" borderId="0" xfId="55" applyNumberFormat="1" applyFont="1">
      <alignment/>
      <protection/>
    </xf>
    <xf numFmtId="0" fontId="14" fillId="0" borderId="0" xfId="55" applyFont="1">
      <alignment/>
      <protection/>
    </xf>
    <xf numFmtId="171" fontId="25" fillId="24" borderId="10" xfId="54" applyNumberFormat="1" applyFont="1" applyFill="1" applyBorder="1" applyAlignment="1">
      <alignment horizontal="right"/>
      <protection/>
    </xf>
    <xf numFmtId="168" fontId="14" fillId="0" borderId="0" xfId="0" applyNumberFormat="1" applyFont="1" applyFill="1" applyAlignment="1">
      <alignment/>
    </xf>
    <xf numFmtId="0" fontId="21" fillId="0" borderId="27" xfId="53" applyFont="1" applyBorder="1" applyAlignment="1">
      <alignment horizontal="center" vertical="center" wrapText="1"/>
      <protection/>
    </xf>
    <xf numFmtId="0" fontId="21" fillId="0" borderId="28" xfId="53" applyFont="1" applyBorder="1" applyAlignment="1">
      <alignment horizontal="center" vertical="center" wrapText="1"/>
      <protection/>
    </xf>
    <xf numFmtId="0" fontId="21" fillId="0" borderId="15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wrapText="1"/>
      <protection/>
    </xf>
    <xf numFmtId="0" fontId="21" fillId="24" borderId="10" xfId="53" applyFont="1" applyFill="1" applyBorder="1" applyAlignment="1">
      <alignment horizontal="center" wrapText="1"/>
      <protection/>
    </xf>
    <xf numFmtId="0" fontId="24" fillId="0" borderId="0" xfId="0" applyFont="1" applyAlignment="1">
      <alignment horizontal="center"/>
    </xf>
    <xf numFmtId="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1" fillId="24" borderId="10" xfId="53" applyFont="1" applyFill="1" applyBorder="1" applyAlignment="1">
      <alignment wrapText="1"/>
      <protection/>
    </xf>
    <xf numFmtId="0" fontId="21" fillId="24" borderId="10" xfId="53" applyFont="1" applyFill="1" applyBorder="1" applyAlignment="1">
      <alignment/>
      <protection/>
    </xf>
    <xf numFmtId="0" fontId="21" fillId="0" borderId="0" xfId="53" applyFont="1" applyAlignment="1">
      <alignment horizontal="right"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left"/>
      <protection/>
    </xf>
    <xf numFmtId="3" fontId="21" fillId="0" borderId="28" xfId="54" applyNumberFormat="1" applyFont="1" applyFill="1" applyBorder="1" applyAlignment="1" applyProtection="1">
      <alignment horizontal="right" shrinkToFit="1"/>
      <protection/>
    </xf>
    <xf numFmtId="0" fontId="21" fillId="0" borderId="10" xfId="53" applyFont="1" applyBorder="1" applyAlignment="1">
      <alignment horizontal="center"/>
      <protection/>
    </xf>
    <xf numFmtId="0" fontId="21" fillId="0" borderId="10" xfId="53" applyFont="1" applyBorder="1" applyAlignment="1">
      <alignment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0" borderId="30" xfId="53" applyFont="1" applyBorder="1" applyAlignment="1">
      <alignment horizontal="center" vertical="center" wrapText="1"/>
      <protection/>
    </xf>
    <xf numFmtId="0" fontId="21" fillId="0" borderId="31" xfId="53" applyFont="1" applyBorder="1" applyAlignment="1">
      <alignment horizontal="center" vertical="center" wrapText="1"/>
      <protection/>
    </xf>
    <xf numFmtId="0" fontId="21" fillId="0" borderId="32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33" xfId="53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/>
      <protection/>
    </xf>
    <xf numFmtId="49" fontId="14" fillId="0" borderId="0" xfId="54" applyNumberFormat="1" applyFont="1" applyFill="1" applyAlignment="1">
      <alignment horizontal="right"/>
      <protection/>
    </xf>
    <xf numFmtId="0" fontId="14" fillId="0" borderId="0" xfId="54" applyFont="1" applyAlignment="1">
      <alignment horizontal="right" wrapText="1"/>
      <protection/>
    </xf>
    <xf numFmtId="0" fontId="14" fillId="0" borderId="0" xfId="54" applyFont="1" applyAlignment="1">
      <alignment horizontal="right"/>
      <protection/>
    </xf>
    <xf numFmtId="0" fontId="28" fillId="0" borderId="0" xfId="0" applyFont="1" applyAlignment="1">
      <alignment horizontal="right"/>
    </xf>
    <xf numFmtId="49" fontId="24" fillId="0" borderId="0" xfId="54" applyNumberFormat="1" applyFont="1" applyFill="1" applyAlignment="1">
      <alignment horizontal="center"/>
      <protection/>
    </xf>
    <xf numFmtId="168" fontId="14" fillId="0" borderId="0" xfId="0" applyNumberFormat="1" applyFont="1" applyAlignment="1">
      <alignment horizontal="center"/>
    </xf>
    <xf numFmtId="49" fontId="24" fillId="0" borderId="0" xfId="54" applyNumberFormat="1" applyFont="1" applyFill="1" applyAlignment="1">
      <alignment horizontal="center" wrapText="1"/>
      <protection/>
    </xf>
    <xf numFmtId="3" fontId="14" fillId="0" borderId="28" xfId="54" applyNumberFormat="1" applyFont="1" applyFill="1" applyBorder="1" applyAlignment="1" applyProtection="1">
      <alignment horizontal="right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 2" xfId="55"/>
    <cellStyle name="Обычный_Лист2" xfId="56"/>
    <cellStyle name="Обычный_фото улусов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24.00390625" style="70" customWidth="1"/>
    <col min="2" max="2" width="42.375" style="70" customWidth="1"/>
    <col min="3" max="3" width="20.00390625" style="70" customWidth="1"/>
    <col min="4" max="16384" width="9.125" style="70" customWidth="1"/>
  </cols>
  <sheetData>
    <row r="1" spans="2:3" ht="12.75">
      <c r="B1" s="210" t="s">
        <v>500</v>
      </c>
      <c r="C1" s="210"/>
    </row>
    <row r="2" spans="2:3" ht="12.75">
      <c r="B2" s="210" t="s">
        <v>501</v>
      </c>
      <c r="C2" s="210"/>
    </row>
    <row r="3" spans="2:3" ht="12.75">
      <c r="B3" s="210" t="s">
        <v>502</v>
      </c>
      <c r="C3" s="210"/>
    </row>
    <row r="4" spans="2:3" ht="12.75">
      <c r="B4" s="211" t="s">
        <v>503</v>
      </c>
      <c r="C4" s="211"/>
    </row>
    <row r="5" spans="2:3" ht="12.75">
      <c r="B5" s="211" t="s">
        <v>504</v>
      </c>
      <c r="C5" s="211"/>
    </row>
    <row r="6" spans="2:3" ht="12.75">
      <c r="B6" s="180"/>
      <c r="C6" s="13" t="s">
        <v>524</v>
      </c>
    </row>
    <row r="7" spans="2:3" ht="12.75">
      <c r="B7" s="211" t="s">
        <v>505</v>
      </c>
      <c r="C7" s="211"/>
    </row>
    <row r="8" spans="2:3" ht="12.75">
      <c r="B8" s="211" t="s">
        <v>501</v>
      </c>
      <c r="C8" s="211"/>
    </row>
    <row r="9" spans="2:3" ht="12.75">
      <c r="B9" s="211" t="s">
        <v>2</v>
      </c>
      <c r="C9" s="211"/>
    </row>
    <row r="10" spans="2:3" ht="12.75">
      <c r="B10" s="211" t="s">
        <v>504</v>
      </c>
      <c r="C10" s="211"/>
    </row>
    <row r="11" spans="2:3" ht="12.75">
      <c r="B11" s="180"/>
      <c r="C11" s="13" t="s">
        <v>6</v>
      </c>
    </row>
    <row r="12" spans="2:3" ht="12.75">
      <c r="B12" s="212"/>
      <c r="C12" s="212"/>
    </row>
    <row r="13" spans="1:3" ht="12.75">
      <c r="A13" s="209" t="s">
        <v>506</v>
      </c>
      <c r="B13" s="209"/>
      <c r="C13" s="209"/>
    </row>
    <row r="14" spans="1:3" ht="12.75">
      <c r="A14" s="209" t="s">
        <v>507</v>
      </c>
      <c r="B14" s="209"/>
      <c r="C14" s="209"/>
    </row>
    <row r="15" ht="13.5" thickBot="1">
      <c r="C15" s="181" t="s">
        <v>508</v>
      </c>
    </row>
    <row r="16" spans="1:3" ht="36" customHeight="1">
      <c r="A16" s="182" t="s">
        <v>509</v>
      </c>
      <c r="B16" s="183" t="s">
        <v>510</v>
      </c>
      <c r="C16" s="184" t="s">
        <v>11</v>
      </c>
    </row>
    <row r="17" spans="1:6" ht="22.5" customHeight="1">
      <c r="A17" s="185" t="s">
        <v>511</v>
      </c>
      <c r="B17" s="186" t="s">
        <v>512</v>
      </c>
      <c r="C17" s="187">
        <f>'расходная часть'!V326</f>
        <v>1653534.4166099997</v>
      </c>
      <c r="F17" s="188"/>
    </row>
    <row r="18" spans="1:3" ht="12.75">
      <c r="A18" s="189" t="s">
        <v>513</v>
      </c>
      <c r="B18" s="190" t="s">
        <v>514</v>
      </c>
      <c r="C18" s="191">
        <f>-'доходная часть'!M120</f>
        <v>-1567490.45115</v>
      </c>
    </row>
    <row r="19" spans="1:3" ht="13.5" thickBot="1">
      <c r="A19" s="192"/>
      <c r="B19" s="193" t="s">
        <v>515</v>
      </c>
      <c r="C19" s="194">
        <f>C18+C17</f>
        <v>86043.96545999963</v>
      </c>
    </row>
    <row r="20" spans="1:3" ht="12.75">
      <c r="A20" s="195"/>
      <c r="B20" s="195"/>
      <c r="C20" s="196"/>
    </row>
    <row r="21" spans="1:3" ht="12.75">
      <c r="A21" s="195"/>
      <c r="B21" s="195"/>
      <c r="C21" s="197"/>
    </row>
    <row r="22" ht="12.75">
      <c r="C22" s="198"/>
    </row>
    <row r="23" spans="1:3" ht="21" customHeight="1">
      <c r="A23" s="199" t="s">
        <v>497</v>
      </c>
      <c r="B23" s="199"/>
      <c r="C23" s="200"/>
    </row>
    <row r="24" spans="1:3" ht="16.5" customHeight="1">
      <c r="A24" s="199" t="s">
        <v>516</v>
      </c>
      <c r="B24" s="199"/>
      <c r="C24" s="201" t="s">
        <v>517</v>
      </c>
    </row>
  </sheetData>
  <sheetProtection/>
  <mergeCells count="12">
    <mergeCell ref="B12:C12"/>
    <mergeCell ref="A13:C13"/>
    <mergeCell ref="A14:C14"/>
    <mergeCell ref="B1:C1"/>
    <mergeCell ref="B2:C2"/>
    <mergeCell ref="B3:C3"/>
    <mergeCell ref="B4:C4"/>
    <mergeCell ref="B5:C5"/>
    <mergeCell ref="B7:C7"/>
    <mergeCell ref="B8:C8"/>
    <mergeCell ref="B9:C9"/>
    <mergeCell ref="B10:C10"/>
  </mergeCells>
  <printOptions/>
  <pageMargins left="0.75" right="0.75" top="0.51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view="pageBreakPreview" zoomScaleSheetLayoutView="100" workbookViewId="0" topLeftCell="A1">
      <pane xSplit="4" ySplit="5" topLeftCell="E89" activePane="bottomRight" state="frozen"/>
      <selection pane="topLeft" activeCell="J57" sqref="J57"/>
      <selection pane="topRight" activeCell="J57" sqref="J57"/>
      <selection pane="bottomLeft" activeCell="J57" sqref="J57"/>
      <selection pane="bottomRight" activeCell="P90" sqref="P90"/>
    </sheetView>
  </sheetViews>
  <sheetFormatPr defaultColWidth="9.00390625" defaultRowHeight="12.75"/>
  <cols>
    <col min="1" max="1" width="19.625" style="3" customWidth="1"/>
    <col min="2" max="2" width="67.75390625" style="3" customWidth="1"/>
    <col min="3" max="4" width="17.25390625" style="3" hidden="1" customWidth="1"/>
    <col min="5" max="5" width="16.75390625" style="3" hidden="1" customWidth="1"/>
    <col min="6" max="6" width="12.00390625" style="3" hidden="1" customWidth="1"/>
    <col min="7" max="7" width="13.375" style="3" hidden="1" customWidth="1"/>
    <col min="8" max="12" width="13.375" style="7" hidden="1" customWidth="1"/>
    <col min="13" max="13" width="13.25390625" style="7" customWidth="1"/>
    <col min="14" max="16384" width="9.125" style="3" customWidth="1"/>
  </cols>
  <sheetData>
    <row r="1" spans="1:13" ht="12.75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>
      <c r="A2" s="1"/>
      <c r="B2" s="215" t="s">
        <v>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2.75">
      <c r="A3" s="1"/>
      <c r="B3" s="215" t="s">
        <v>2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2.75">
      <c r="A4" s="1"/>
      <c r="B4" s="215" t="s">
        <v>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12.75">
      <c r="A5" s="1"/>
      <c r="B5" s="215" t="s">
        <v>522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2.75">
      <c r="A6" s="1"/>
      <c r="B6" s="2"/>
      <c r="C6" s="2" t="s">
        <v>4</v>
      </c>
      <c r="D6" s="2"/>
      <c r="E6" s="2" t="s">
        <v>5</v>
      </c>
      <c r="F6" s="2"/>
      <c r="G6" s="2"/>
      <c r="H6" s="4"/>
      <c r="I6" s="4"/>
      <c r="J6" s="4"/>
      <c r="K6" s="4"/>
      <c r="L6" s="4"/>
      <c r="M6" s="4"/>
    </row>
    <row r="7" spans="1:13" ht="12.75">
      <c r="A7" s="1"/>
      <c r="B7" s="215" t="s">
        <v>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12.75">
      <c r="A8" s="1"/>
      <c r="B8" s="215" t="s">
        <v>1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1:13" ht="12.75">
      <c r="A9" s="1"/>
      <c r="B9" s="215" t="s">
        <v>2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3" ht="12.75">
      <c r="A10" s="1"/>
      <c r="B10" s="215" t="s">
        <v>3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1" spans="1:18" ht="12.75">
      <c r="A11" s="1"/>
      <c r="B11" s="215" t="s">
        <v>6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R11" s="5"/>
    </row>
    <row r="12" spans="1:13" ht="12.75">
      <c r="A12" s="1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5" ht="12.75">
      <c r="A13" s="1"/>
      <c r="B13" s="6"/>
      <c r="C13" s="1"/>
      <c r="D13" s="1"/>
      <c r="E13" s="1"/>
    </row>
    <row r="14" spans="1:5" ht="12.75">
      <c r="A14" s="217" t="s">
        <v>7</v>
      </c>
      <c r="B14" s="217"/>
      <c r="C14" s="217"/>
      <c r="D14" s="217"/>
      <c r="E14" s="217"/>
    </row>
    <row r="15" spans="1:13" ht="12" customHeight="1">
      <c r="A15" s="1"/>
      <c r="B15" s="8"/>
      <c r="C15" s="1"/>
      <c r="D15" s="1"/>
      <c r="E15" s="219" t="s">
        <v>8</v>
      </c>
      <c r="F15" s="219"/>
      <c r="G15" s="219"/>
      <c r="H15" s="219"/>
      <c r="I15" s="219"/>
      <c r="J15" s="219"/>
      <c r="K15" s="219"/>
      <c r="L15" s="219"/>
      <c r="M15" s="219"/>
    </row>
    <row r="16" spans="1:13" ht="21" customHeight="1">
      <c r="A16" s="220" t="s">
        <v>9</v>
      </c>
      <c r="B16" s="220" t="s">
        <v>10</v>
      </c>
      <c r="C16" s="222" t="s">
        <v>11</v>
      </c>
      <c r="D16" s="223"/>
      <c r="E16" s="224"/>
      <c r="F16" s="207" t="s">
        <v>12</v>
      </c>
      <c r="G16" s="207" t="s">
        <v>12</v>
      </c>
      <c r="H16" s="213" t="s">
        <v>12</v>
      </c>
      <c r="I16" s="213" t="s">
        <v>12</v>
      </c>
      <c r="J16" s="213" t="s">
        <v>12</v>
      </c>
      <c r="K16" s="213" t="s">
        <v>12</v>
      </c>
      <c r="L16" s="213" t="s">
        <v>12</v>
      </c>
      <c r="M16" s="208" t="s">
        <v>11</v>
      </c>
    </row>
    <row r="17" spans="1:13" ht="13.5" customHeight="1" hidden="1" thickBot="1">
      <c r="A17" s="221"/>
      <c r="B17" s="221"/>
      <c r="C17" s="225"/>
      <c r="D17" s="226"/>
      <c r="E17" s="227"/>
      <c r="F17" s="221"/>
      <c r="G17" s="221"/>
      <c r="H17" s="214"/>
      <c r="I17" s="214"/>
      <c r="J17" s="214"/>
      <c r="K17" s="214"/>
      <c r="L17" s="214"/>
      <c r="M17" s="208"/>
    </row>
    <row r="18" spans="1:13" ht="8.25" customHeight="1">
      <c r="A18" s="221"/>
      <c r="B18" s="221"/>
      <c r="C18" s="225"/>
      <c r="D18" s="226"/>
      <c r="E18" s="227"/>
      <c r="F18" s="221"/>
      <c r="G18" s="221"/>
      <c r="H18" s="214"/>
      <c r="I18" s="214"/>
      <c r="J18" s="214"/>
      <c r="K18" s="214"/>
      <c r="L18" s="214"/>
      <c r="M18" s="208"/>
    </row>
    <row r="19" spans="1:13" ht="36.75" customHeight="1">
      <c r="A19" s="221"/>
      <c r="B19" s="221"/>
      <c r="C19" s="204"/>
      <c r="D19" s="205"/>
      <c r="E19" s="206"/>
      <c r="F19" s="221"/>
      <c r="G19" s="221"/>
      <c r="H19" s="214"/>
      <c r="I19" s="214"/>
      <c r="J19" s="214"/>
      <c r="K19" s="214"/>
      <c r="L19" s="214"/>
      <c r="M19" s="208"/>
    </row>
    <row r="20" spans="1:13" ht="15">
      <c r="A20" s="9">
        <v>1</v>
      </c>
      <c r="B20" s="9">
        <v>2</v>
      </c>
      <c r="C20" s="9">
        <v>3</v>
      </c>
      <c r="D20" s="9">
        <v>4</v>
      </c>
      <c r="E20" s="9">
        <v>3</v>
      </c>
      <c r="F20" s="14"/>
      <c r="G20" s="14"/>
      <c r="H20" s="15"/>
      <c r="I20" s="15"/>
      <c r="J20" s="15"/>
      <c r="K20" s="15"/>
      <c r="L20" s="15"/>
      <c r="M20" s="16"/>
    </row>
    <row r="21" spans="1:13" s="21" customFormat="1" ht="12.75">
      <c r="A21" s="17"/>
      <c r="B21" s="17" t="s">
        <v>13</v>
      </c>
      <c r="C21" s="18" t="e">
        <f>#REF!</f>
        <v>#REF!</v>
      </c>
      <c r="D21" s="17"/>
      <c r="E21" s="19">
        <f aca="true" t="shared" si="0" ref="E21:J21">E22+E47</f>
        <v>431623.49999999994</v>
      </c>
      <c r="F21" s="19">
        <f t="shared" si="0"/>
        <v>932</v>
      </c>
      <c r="G21" s="19">
        <f t="shared" si="0"/>
        <v>0</v>
      </c>
      <c r="H21" s="20">
        <f t="shared" si="0"/>
        <v>16607.02</v>
      </c>
      <c r="I21" s="20">
        <f t="shared" si="0"/>
        <v>8870</v>
      </c>
      <c r="J21" s="20">
        <f t="shared" si="0"/>
        <v>8185</v>
      </c>
      <c r="K21" s="20">
        <f>K22+K47</f>
        <v>0</v>
      </c>
      <c r="L21" s="20">
        <f>L22+L47</f>
        <v>0</v>
      </c>
      <c r="M21" s="20">
        <f>M22+M47</f>
        <v>466217.51999999996</v>
      </c>
    </row>
    <row r="22" spans="1:13" s="21" customFormat="1" ht="12.75">
      <c r="A22" s="17"/>
      <c r="B22" s="17" t="s">
        <v>14</v>
      </c>
      <c r="C22" s="18">
        <f>C23+C30+C35+C38+C40+C42+C46</f>
        <v>1021698.3</v>
      </c>
      <c r="D22" s="17"/>
      <c r="E22" s="19">
        <f aca="true" t="shared" si="1" ref="E22:J22">E23+E30+E35+E38+E40+E42+E46</f>
        <v>418236.99999999994</v>
      </c>
      <c r="F22" s="19">
        <f t="shared" si="1"/>
        <v>0</v>
      </c>
      <c r="G22" s="19">
        <f t="shared" si="1"/>
        <v>0</v>
      </c>
      <c r="H22" s="20">
        <f t="shared" si="1"/>
        <v>8100</v>
      </c>
      <c r="I22" s="20">
        <f t="shared" si="1"/>
        <v>0</v>
      </c>
      <c r="J22" s="20">
        <f t="shared" si="1"/>
        <v>4185</v>
      </c>
      <c r="K22" s="20"/>
      <c r="L22" s="20"/>
      <c r="M22" s="20">
        <f>M23+M30+M35+M38+M40+M42+M46</f>
        <v>430521.99999999994</v>
      </c>
    </row>
    <row r="23" spans="1:13" ht="12.75">
      <c r="A23" s="22" t="s">
        <v>15</v>
      </c>
      <c r="B23" s="22" t="s">
        <v>16</v>
      </c>
      <c r="C23" s="23">
        <f>C24+C25+C26+C27+C28</f>
        <v>923200</v>
      </c>
      <c r="D23" s="24">
        <v>30</v>
      </c>
      <c r="E23" s="25">
        <f>E24+E25+E26+E27+E28</f>
        <v>297816</v>
      </c>
      <c r="F23" s="18"/>
      <c r="G23" s="18"/>
      <c r="H23" s="26"/>
      <c r="I23" s="26"/>
      <c r="J23" s="26">
        <f>J26</f>
        <v>4185</v>
      </c>
      <c r="K23" s="26"/>
      <c r="L23" s="26"/>
      <c r="M23" s="27">
        <f>E23+F23+J23</f>
        <v>302001</v>
      </c>
    </row>
    <row r="24" spans="1:13" ht="12.75">
      <c r="A24" s="22" t="s">
        <v>17</v>
      </c>
      <c r="B24" s="22" t="s">
        <v>16</v>
      </c>
      <c r="C24" s="22">
        <v>1370</v>
      </c>
      <c r="D24" s="28">
        <v>30</v>
      </c>
      <c r="E24" s="25">
        <v>1140</v>
      </c>
      <c r="F24" s="22"/>
      <c r="G24" s="22"/>
      <c r="H24" s="29"/>
      <c r="I24" s="29"/>
      <c r="J24" s="29"/>
      <c r="K24" s="29"/>
      <c r="L24" s="29"/>
      <c r="M24" s="27">
        <f>E24+F24</f>
        <v>1140</v>
      </c>
    </row>
    <row r="25" spans="1:13" ht="12.75">
      <c r="A25" s="22" t="s">
        <v>18</v>
      </c>
      <c r="B25" s="22" t="s">
        <v>16</v>
      </c>
      <c r="C25" s="23">
        <v>915264</v>
      </c>
      <c r="D25" s="28">
        <v>30</v>
      </c>
      <c r="E25" s="25">
        <v>295660.8</v>
      </c>
      <c r="F25" s="23"/>
      <c r="G25" s="23"/>
      <c r="H25" s="27"/>
      <c r="I25" s="27"/>
      <c r="J25" s="27"/>
      <c r="K25" s="27"/>
      <c r="L25" s="27"/>
      <c r="M25" s="27">
        <f>E25+F25</f>
        <v>295660.8</v>
      </c>
    </row>
    <row r="26" spans="1:13" ht="12.75">
      <c r="A26" s="22" t="s">
        <v>19</v>
      </c>
      <c r="B26" s="22" t="s">
        <v>16</v>
      </c>
      <c r="C26" s="23">
        <v>6315</v>
      </c>
      <c r="D26" s="28">
        <v>30</v>
      </c>
      <c r="E26" s="25">
        <v>900</v>
      </c>
      <c r="F26" s="23"/>
      <c r="G26" s="23"/>
      <c r="H26" s="27"/>
      <c r="I26" s="27"/>
      <c r="J26" s="27">
        <f>3615+570</f>
        <v>4185</v>
      </c>
      <c r="K26" s="27"/>
      <c r="L26" s="27"/>
      <c r="M26" s="27">
        <f>E26+F26+J26</f>
        <v>5085</v>
      </c>
    </row>
    <row r="27" spans="1:13" ht="12.75">
      <c r="A27" s="22" t="s">
        <v>20</v>
      </c>
      <c r="B27" s="22" t="s">
        <v>16</v>
      </c>
      <c r="C27" s="22">
        <v>84</v>
      </c>
      <c r="D27" s="28">
        <v>30</v>
      </c>
      <c r="E27" s="25">
        <v>25.2</v>
      </c>
      <c r="F27" s="22"/>
      <c r="G27" s="22"/>
      <c r="H27" s="29"/>
      <c r="I27" s="29"/>
      <c r="J27" s="29"/>
      <c r="K27" s="29"/>
      <c r="L27" s="29"/>
      <c r="M27" s="27">
        <f>E27+F27</f>
        <v>25.2</v>
      </c>
    </row>
    <row r="28" spans="1:13" ht="12.75">
      <c r="A28" s="22" t="s">
        <v>21</v>
      </c>
      <c r="B28" s="22" t="s">
        <v>16</v>
      </c>
      <c r="C28" s="22">
        <v>167</v>
      </c>
      <c r="D28" s="28">
        <v>30</v>
      </c>
      <c r="E28" s="25">
        <v>90</v>
      </c>
      <c r="F28" s="22"/>
      <c r="G28" s="22"/>
      <c r="H28" s="29"/>
      <c r="I28" s="29"/>
      <c r="J28" s="29"/>
      <c r="K28" s="29"/>
      <c r="L28" s="29"/>
      <c r="M28" s="27">
        <f>E28+F28</f>
        <v>90</v>
      </c>
    </row>
    <row r="29" spans="1:13" ht="12.75" hidden="1">
      <c r="A29" s="22" t="s">
        <v>22</v>
      </c>
      <c r="B29" s="22" t="s">
        <v>16</v>
      </c>
      <c r="C29" s="22"/>
      <c r="D29" s="22"/>
      <c r="E29" s="25"/>
      <c r="F29" s="22"/>
      <c r="G29" s="22"/>
      <c r="H29" s="29"/>
      <c r="I29" s="29"/>
      <c r="J29" s="29"/>
      <c r="K29" s="29"/>
      <c r="L29" s="29"/>
      <c r="M29" s="27">
        <f>E29+F29</f>
        <v>0</v>
      </c>
    </row>
    <row r="30" spans="1:13" ht="12.75">
      <c r="A30" s="22" t="s">
        <v>23</v>
      </c>
      <c r="B30" s="22" t="s">
        <v>24</v>
      </c>
      <c r="C30" s="22">
        <f>C31+C32+C33+C34</f>
        <v>89760.3</v>
      </c>
      <c r="D30" s="22"/>
      <c r="E30" s="25">
        <f>E31+E32+E33+E34</f>
        <v>99412.6</v>
      </c>
      <c r="F30" s="18"/>
      <c r="G30" s="18"/>
      <c r="H30" s="26">
        <f>H31+H32+H33+H34</f>
        <v>8100</v>
      </c>
      <c r="I30" s="26"/>
      <c r="J30" s="26"/>
      <c r="K30" s="26"/>
      <c r="L30" s="26"/>
      <c r="M30" s="27">
        <f>E30+F30+H30</f>
        <v>107512.6</v>
      </c>
    </row>
    <row r="31" spans="1:13" ht="22.5">
      <c r="A31" s="22" t="s">
        <v>25</v>
      </c>
      <c r="B31" s="10" t="s">
        <v>26</v>
      </c>
      <c r="C31" s="22">
        <v>43900.3</v>
      </c>
      <c r="D31" s="22">
        <v>90</v>
      </c>
      <c r="E31" s="25">
        <v>50038</v>
      </c>
      <c r="F31" s="17"/>
      <c r="G31" s="17"/>
      <c r="H31" s="30"/>
      <c r="I31" s="30"/>
      <c r="J31" s="30"/>
      <c r="K31" s="30"/>
      <c r="L31" s="30"/>
      <c r="M31" s="27">
        <f>E31+F31</f>
        <v>50038</v>
      </c>
    </row>
    <row r="32" spans="1:13" ht="22.5">
      <c r="A32" s="22" t="s">
        <v>27</v>
      </c>
      <c r="B32" s="10" t="s">
        <v>26</v>
      </c>
      <c r="C32" s="22">
        <v>8046</v>
      </c>
      <c r="D32" s="22">
        <v>90</v>
      </c>
      <c r="E32" s="25">
        <v>9065</v>
      </c>
      <c r="F32" s="22"/>
      <c r="G32" s="22"/>
      <c r="H32" s="31">
        <v>8100</v>
      </c>
      <c r="I32" s="31"/>
      <c r="J32" s="31"/>
      <c r="K32" s="31"/>
      <c r="L32" s="31"/>
      <c r="M32" s="27">
        <f>E32+F32+H32</f>
        <v>17165</v>
      </c>
    </row>
    <row r="33" spans="1:13" ht="12.75">
      <c r="A33" s="22" t="s">
        <v>28</v>
      </c>
      <c r="B33" s="10" t="s">
        <v>29</v>
      </c>
      <c r="C33" s="22">
        <v>37709</v>
      </c>
      <c r="D33" s="22">
        <v>90</v>
      </c>
      <c r="E33" s="25">
        <v>40258</v>
      </c>
      <c r="F33" s="22"/>
      <c r="G33" s="22"/>
      <c r="H33" s="29"/>
      <c r="I33" s="29"/>
      <c r="J33" s="29"/>
      <c r="K33" s="29"/>
      <c r="L33" s="29"/>
      <c r="M33" s="27">
        <f aca="true" t="shared" si="2" ref="M33:M45">E33+F33</f>
        <v>40258</v>
      </c>
    </row>
    <row r="34" spans="1:13" ht="12.75">
      <c r="A34" s="22" t="s">
        <v>30</v>
      </c>
      <c r="B34" s="22" t="s">
        <v>31</v>
      </c>
      <c r="C34" s="22">
        <v>105</v>
      </c>
      <c r="D34" s="22">
        <v>60</v>
      </c>
      <c r="E34" s="25">
        <v>51.6</v>
      </c>
      <c r="F34" s="22"/>
      <c r="G34" s="22"/>
      <c r="H34" s="29"/>
      <c r="I34" s="29"/>
      <c r="J34" s="29"/>
      <c r="K34" s="29"/>
      <c r="L34" s="29"/>
      <c r="M34" s="27">
        <f t="shared" si="2"/>
        <v>51.6</v>
      </c>
    </row>
    <row r="35" spans="1:13" ht="12.75" hidden="1">
      <c r="A35" s="22" t="s">
        <v>32</v>
      </c>
      <c r="B35" s="22" t="s">
        <v>33</v>
      </c>
      <c r="C35" s="22">
        <v>0</v>
      </c>
      <c r="D35" s="22"/>
      <c r="E35" s="25">
        <v>0</v>
      </c>
      <c r="F35" s="17"/>
      <c r="G35" s="17"/>
      <c r="H35" s="30"/>
      <c r="I35" s="30"/>
      <c r="J35" s="30"/>
      <c r="K35" s="30"/>
      <c r="L35" s="30"/>
      <c r="M35" s="27">
        <f t="shared" si="2"/>
        <v>0</v>
      </c>
    </row>
    <row r="36" spans="1:13" ht="12.75" hidden="1">
      <c r="A36" s="22" t="s">
        <v>34</v>
      </c>
      <c r="B36" s="22" t="s">
        <v>35</v>
      </c>
      <c r="C36" s="22"/>
      <c r="D36" s="22"/>
      <c r="E36" s="25"/>
      <c r="F36" s="22"/>
      <c r="G36" s="22"/>
      <c r="H36" s="29"/>
      <c r="I36" s="29"/>
      <c r="J36" s="29"/>
      <c r="K36" s="29"/>
      <c r="L36" s="29"/>
      <c r="M36" s="27">
        <f t="shared" si="2"/>
        <v>0</v>
      </c>
    </row>
    <row r="37" spans="1:13" ht="12.75" hidden="1">
      <c r="A37" s="22" t="s">
        <v>36</v>
      </c>
      <c r="B37" s="22" t="s">
        <v>37</v>
      </c>
      <c r="C37" s="22"/>
      <c r="D37" s="22"/>
      <c r="E37" s="25"/>
      <c r="F37" s="22"/>
      <c r="G37" s="22"/>
      <c r="H37" s="29"/>
      <c r="I37" s="29"/>
      <c r="J37" s="29"/>
      <c r="K37" s="29"/>
      <c r="L37" s="29"/>
      <c r="M37" s="27">
        <f t="shared" si="2"/>
        <v>0</v>
      </c>
    </row>
    <row r="38" spans="1:13" s="21" customFormat="1" ht="12.75" hidden="1">
      <c r="A38" s="22" t="s">
        <v>38</v>
      </c>
      <c r="B38" s="22" t="s">
        <v>39</v>
      </c>
      <c r="C38" s="22">
        <f>C39</f>
        <v>0</v>
      </c>
      <c r="D38" s="22"/>
      <c r="E38" s="25">
        <f>E39</f>
        <v>0</v>
      </c>
      <c r="F38" s="17"/>
      <c r="G38" s="17"/>
      <c r="H38" s="30"/>
      <c r="I38" s="30"/>
      <c r="J38" s="30"/>
      <c r="K38" s="30"/>
      <c r="L38" s="30"/>
      <c r="M38" s="27">
        <f t="shared" si="2"/>
        <v>0</v>
      </c>
    </row>
    <row r="39" spans="1:13" ht="12.75" hidden="1">
      <c r="A39" s="22" t="s">
        <v>40</v>
      </c>
      <c r="B39" s="22" t="s">
        <v>39</v>
      </c>
      <c r="C39" s="22">
        <v>0</v>
      </c>
      <c r="D39" s="22">
        <v>100</v>
      </c>
      <c r="E39" s="25">
        <f>C39*D39/100</f>
        <v>0</v>
      </c>
      <c r="F39" s="18"/>
      <c r="G39" s="18"/>
      <c r="H39" s="26"/>
      <c r="I39" s="26"/>
      <c r="J39" s="26"/>
      <c r="K39" s="26"/>
      <c r="L39" s="26"/>
      <c r="M39" s="27">
        <f t="shared" si="2"/>
        <v>0</v>
      </c>
    </row>
    <row r="40" spans="1:13" ht="12.75">
      <c r="A40" s="22" t="s">
        <v>41</v>
      </c>
      <c r="B40" s="10" t="s">
        <v>42</v>
      </c>
      <c r="C40" s="22">
        <f>C41</f>
        <v>3538</v>
      </c>
      <c r="D40" s="22"/>
      <c r="E40" s="25">
        <f>E41</f>
        <v>2500.3</v>
      </c>
      <c r="F40" s="17"/>
      <c r="G40" s="17"/>
      <c r="H40" s="30"/>
      <c r="I40" s="30"/>
      <c r="J40" s="30"/>
      <c r="K40" s="30"/>
      <c r="L40" s="30"/>
      <c r="M40" s="27">
        <f t="shared" si="2"/>
        <v>2500.3</v>
      </c>
    </row>
    <row r="41" spans="1:13" ht="12.75">
      <c r="A41" s="22" t="s">
        <v>43</v>
      </c>
      <c r="B41" s="22" t="s">
        <v>44</v>
      </c>
      <c r="C41" s="22">
        <v>3538</v>
      </c>
      <c r="D41" s="22">
        <v>100</v>
      </c>
      <c r="E41" s="25">
        <v>2500.3</v>
      </c>
      <c r="F41" s="18"/>
      <c r="G41" s="18"/>
      <c r="H41" s="26"/>
      <c r="I41" s="26"/>
      <c r="J41" s="26"/>
      <c r="K41" s="26"/>
      <c r="L41" s="26"/>
      <c r="M41" s="27">
        <f t="shared" si="2"/>
        <v>2500.3</v>
      </c>
    </row>
    <row r="42" spans="1:13" s="21" customFormat="1" ht="12.75">
      <c r="A42" s="22" t="s">
        <v>45</v>
      </c>
      <c r="B42" s="22" t="s">
        <v>46</v>
      </c>
      <c r="C42" s="23">
        <f>C43+C45</f>
        <v>5200</v>
      </c>
      <c r="D42" s="22"/>
      <c r="E42" s="25">
        <f>E43+E45</f>
        <v>18508.1</v>
      </c>
      <c r="F42" s="18"/>
      <c r="G42" s="18"/>
      <c r="H42" s="26"/>
      <c r="I42" s="26"/>
      <c r="J42" s="26"/>
      <c r="K42" s="26"/>
      <c r="L42" s="26"/>
      <c r="M42" s="27">
        <f t="shared" si="2"/>
        <v>18508.1</v>
      </c>
    </row>
    <row r="43" spans="1:13" ht="22.5">
      <c r="A43" s="22" t="s">
        <v>47</v>
      </c>
      <c r="B43" s="10" t="s">
        <v>48</v>
      </c>
      <c r="C43" s="23">
        <v>2000</v>
      </c>
      <c r="D43" s="22">
        <v>100</v>
      </c>
      <c r="E43" s="25">
        <v>5000</v>
      </c>
      <c r="F43" s="23"/>
      <c r="G43" s="23"/>
      <c r="H43" s="27"/>
      <c r="I43" s="27"/>
      <c r="J43" s="27"/>
      <c r="K43" s="27"/>
      <c r="L43" s="27"/>
      <c r="M43" s="27">
        <f t="shared" si="2"/>
        <v>5000</v>
      </c>
    </row>
    <row r="44" spans="1:13" ht="12.75" hidden="1">
      <c r="A44" s="22" t="s">
        <v>49</v>
      </c>
      <c r="B44" s="10" t="s">
        <v>50</v>
      </c>
      <c r="C44" s="22"/>
      <c r="D44" s="22">
        <v>100</v>
      </c>
      <c r="E44" s="25"/>
      <c r="F44" s="22"/>
      <c r="G44" s="22"/>
      <c r="H44" s="29"/>
      <c r="I44" s="29"/>
      <c r="J44" s="29"/>
      <c r="K44" s="29"/>
      <c r="L44" s="29"/>
      <c r="M44" s="27">
        <f t="shared" si="2"/>
        <v>0</v>
      </c>
    </row>
    <row r="45" spans="1:13" ht="12.75">
      <c r="A45" s="22" t="s">
        <v>51</v>
      </c>
      <c r="B45" s="22" t="s">
        <v>52</v>
      </c>
      <c r="C45" s="23">
        <v>3200</v>
      </c>
      <c r="D45" s="22">
        <v>100</v>
      </c>
      <c r="E45" s="25">
        <v>13508.1</v>
      </c>
      <c r="F45" s="23"/>
      <c r="G45" s="23"/>
      <c r="H45" s="27"/>
      <c r="I45" s="27"/>
      <c r="J45" s="27"/>
      <c r="K45" s="27"/>
      <c r="L45" s="27"/>
      <c r="M45" s="27">
        <f t="shared" si="2"/>
        <v>13508.1</v>
      </c>
    </row>
    <row r="46" spans="1:13" s="21" customFormat="1" ht="12.75" hidden="1">
      <c r="A46" s="22" t="s">
        <v>53</v>
      </c>
      <c r="B46" s="10" t="s">
        <v>54</v>
      </c>
      <c r="C46" s="22"/>
      <c r="D46" s="22"/>
      <c r="E46" s="25"/>
      <c r="F46" s="17"/>
      <c r="G46" s="17"/>
      <c r="H46" s="30"/>
      <c r="I46" s="30"/>
      <c r="J46" s="30"/>
      <c r="K46" s="30"/>
      <c r="L46" s="30"/>
      <c r="M46" s="30"/>
    </row>
    <row r="47" spans="1:13" s="32" customFormat="1" ht="12.75">
      <c r="A47" s="17"/>
      <c r="B47" s="17" t="s">
        <v>55</v>
      </c>
      <c r="C47" s="18" t="e">
        <f>C48+C53+C54</f>
        <v>#REF!</v>
      </c>
      <c r="D47" s="18"/>
      <c r="E47" s="19">
        <f>E48+E53+E54</f>
        <v>13386.5</v>
      </c>
      <c r="F47" s="19">
        <f>F48+F53+F54</f>
        <v>932</v>
      </c>
      <c r="G47" s="19"/>
      <c r="H47" s="20">
        <f>H48+H53+H54</f>
        <v>8507.02</v>
      </c>
      <c r="I47" s="20">
        <f>I48+I53+I54+I56+I55</f>
        <v>8870</v>
      </c>
      <c r="J47" s="20">
        <f>J48+J53+J54+J56+J55</f>
        <v>4000</v>
      </c>
      <c r="K47" s="20"/>
      <c r="L47" s="20"/>
      <c r="M47" s="20">
        <f>M48+M53+M54+M56+M55</f>
        <v>35695.520000000004</v>
      </c>
    </row>
    <row r="48" spans="1:13" s="21" customFormat="1" ht="22.5">
      <c r="A48" s="22" t="s">
        <v>56</v>
      </c>
      <c r="B48" s="10" t="s">
        <v>57</v>
      </c>
      <c r="C48" s="22" t="e">
        <f>C49+C51+#REF!+C52</f>
        <v>#REF!</v>
      </c>
      <c r="D48" s="22"/>
      <c r="E48" s="25">
        <f>E49+E51+E52+E50</f>
        <v>9458.5</v>
      </c>
      <c r="F48" s="25">
        <f>F49+F51+F52+F50</f>
        <v>932</v>
      </c>
      <c r="G48" s="25"/>
      <c r="H48" s="33">
        <f>H49+H50+H51+H52</f>
        <v>1154.1</v>
      </c>
      <c r="I48" s="33"/>
      <c r="J48" s="33"/>
      <c r="K48" s="33"/>
      <c r="L48" s="33"/>
      <c r="M48" s="33">
        <f>M49+M51+M52+M50</f>
        <v>11544.6</v>
      </c>
    </row>
    <row r="49" spans="1:13" ht="22.5">
      <c r="A49" s="22" t="s">
        <v>58</v>
      </c>
      <c r="B49" s="10" t="s">
        <v>59</v>
      </c>
      <c r="C49" s="22">
        <v>2500</v>
      </c>
      <c r="D49" s="22">
        <v>100</v>
      </c>
      <c r="E49" s="25">
        <v>3000</v>
      </c>
      <c r="F49" s="22"/>
      <c r="G49" s="22"/>
      <c r="H49" s="29"/>
      <c r="I49" s="29"/>
      <c r="J49" s="29"/>
      <c r="K49" s="29"/>
      <c r="L49" s="29"/>
      <c r="M49" s="33">
        <f>E49+F49</f>
        <v>3000</v>
      </c>
    </row>
    <row r="50" spans="1:13" ht="36.75" customHeight="1">
      <c r="A50" s="22" t="s">
        <v>60</v>
      </c>
      <c r="B50" s="34" t="s">
        <v>61</v>
      </c>
      <c r="C50" s="22"/>
      <c r="D50" s="22"/>
      <c r="E50" s="25"/>
      <c r="F50" s="22">
        <v>932</v>
      </c>
      <c r="G50" s="22"/>
      <c r="H50" s="29"/>
      <c r="I50" s="29"/>
      <c r="J50" s="29"/>
      <c r="K50" s="29"/>
      <c r="L50" s="29"/>
      <c r="M50" s="33">
        <f>F50</f>
        <v>932</v>
      </c>
    </row>
    <row r="51" spans="1:13" ht="22.5">
      <c r="A51" s="22" t="s">
        <v>62</v>
      </c>
      <c r="B51" s="10" t="s">
        <v>63</v>
      </c>
      <c r="C51" s="22">
        <v>10067.6</v>
      </c>
      <c r="D51" s="22">
        <v>50</v>
      </c>
      <c r="E51" s="25">
        <v>6428.5</v>
      </c>
      <c r="F51" s="22"/>
      <c r="G51" s="22"/>
      <c r="H51" s="29">
        <v>1154.1</v>
      </c>
      <c r="I51" s="29"/>
      <c r="J51" s="29"/>
      <c r="K51" s="29"/>
      <c r="L51" s="29"/>
      <c r="M51" s="33">
        <f>E51+F51+H51</f>
        <v>7582.6</v>
      </c>
    </row>
    <row r="52" spans="1:13" ht="12.75">
      <c r="A52" s="22" t="s">
        <v>64</v>
      </c>
      <c r="B52" s="10" t="s">
        <v>65</v>
      </c>
      <c r="C52" s="22">
        <v>30</v>
      </c>
      <c r="D52" s="22">
        <v>100</v>
      </c>
      <c r="E52" s="25">
        <f>C52*D52/100</f>
        <v>30</v>
      </c>
      <c r="F52" s="22"/>
      <c r="G52" s="22"/>
      <c r="H52" s="29"/>
      <c r="I52" s="29"/>
      <c r="J52" s="29"/>
      <c r="K52" s="29"/>
      <c r="L52" s="29"/>
      <c r="M52" s="33">
        <f>E52+F52</f>
        <v>30</v>
      </c>
    </row>
    <row r="53" spans="1:13" s="21" customFormat="1" ht="12.75">
      <c r="A53" s="22" t="s">
        <v>66</v>
      </c>
      <c r="B53" s="10" t="s">
        <v>67</v>
      </c>
      <c r="C53" s="22">
        <v>7146</v>
      </c>
      <c r="D53" s="22">
        <v>40</v>
      </c>
      <c r="E53" s="25">
        <v>3808</v>
      </c>
      <c r="F53" s="18"/>
      <c r="G53" s="18"/>
      <c r="H53" s="27">
        <v>6267.92</v>
      </c>
      <c r="I53" s="27">
        <f>1600</f>
        <v>1600</v>
      </c>
      <c r="J53" s="27"/>
      <c r="K53" s="27"/>
      <c r="L53" s="27"/>
      <c r="M53" s="33">
        <f>E53+F53+H53+I53</f>
        <v>11675.92</v>
      </c>
    </row>
    <row r="54" spans="1:13" ht="12.75">
      <c r="A54" s="22" t="s">
        <v>68</v>
      </c>
      <c r="B54" s="10" t="s">
        <v>69</v>
      </c>
      <c r="C54" s="22">
        <v>4000</v>
      </c>
      <c r="D54" s="22">
        <v>100</v>
      </c>
      <c r="E54" s="25">
        <v>120</v>
      </c>
      <c r="F54" s="22"/>
      <c r="G54" s="22"/>
      <c r="H54" s="31">
        <v>1085</v>
      </c>
      <c r="I54" s="31">
        <f>2086+2610</f>
        <v>4696</v>
      </c>
      <c r="J54" s="31"/>
      <c r="K54" s="31"/>
      <c r="L54" s="31"/>
      <c r="M54" s="33">
        <f>E54+F54+H54+I54</f>
        <v>5901</v>
      </c>
    </row>
    <row r="55" spans="1:13" ht="22.5">
      <c r="A55" s="22" t="s">
        <v>70</v>
      </c>
      <c r="B55" s="10" t="s">
        <v>71</v>
      </c>
      <c r="C55" s="22"/>
      <c r="D55" s="22"/>
      <c r="E55" s="25"/>
      <c r="F55" s="22"/>
      <c r="G55" s="22"/>
      <c r="H55" s="31"/>
      <c r="I55" s="31">
        <f>200+750</f>
        <v>950</v>
      </c>
      <c r="J55" s="31">
        <v>4000</v>
      </c>
      <c r="K55" s="31"/>
      <c r="L55" s="31"/>
      <c r="M55" s="33">
        <f>I55+J55</f>
        <v>4950</v>
      </c>
    </row>
    <row r="56" spans="1:13" ht="12.75">
      <c r="A56" s="22" t="s">
        <v>72</v>
      </c>
      <c r="B56" s="10" t="s">
        <v>73</v>
      </c>
      <c r="C56" s="22"/>
      <c r="D56" s="22"/>
      <c r="E56" s="25"/>
      <c r="F56" s="22"/>
      <c r="G56" s="22"/>
      <c r="H56" s="31"/>
      <c r="I56" s="31">
        <f>1074+550</f>
        <v>1624</v>
      </c>
      <c r="J56" s="31"/>
      <c r="K56" s="31"/>
      <c r="L56" s="31"/>
      <c r="M56" s="33">
        <f>I56</f>
        <v>1624</v>
      </c>
    </row>
    <row r="57" spans="1:13" s="21" customFormat="1" ht="12.75">
      <c r="A57" s="35" t="s">
        <v>74</v>
      </c>
      <c r="B57" s="36" t="s">
        <v>75</v>
      </c>
      <c r="C57" s="17"/>
      <c r="D57" s="17"/>
      <c r="E57" s="37">
        <f aca="true" t="shared" si="3" ref="E57:M57">E58+E61+E76+E112</f>
        <v>1049093.125</v>
      </c>
      <c r="F57" s="37">
        <f t="shared" si="3"/>
        <v>24458.42</v>
      </c>
      <c r="G57" s="37">
        <f t="shared" si="3"/>
        <v>29218.5</v>
      </c>
      <c r="H57" s="38">
        <f t="shared" si="3"/>
        <v>-53277.668000000005</v>
      </c>
      <c r="I57" s="38">
        <f t="shared" si="3"/>
        <v>40954.365999999995</v>
      </c>
      <c r="J57" s="39">
        <f t="shared" si="3"/>
        <v>2896.58915</v>
      </c>
      <c r="K57" s="39">
        <f t="shared" si="3"/>
        <v>9296.706</v>
      </c>
      <c r="L57" s="39">
        <f>L58+L61+L76+L112</f>
        <v>-1367.107</v>
      </c>
      <c r="M57" s="39">
        <f t="shared" si="3"/>
        <v>1101272.93115</v>
      </c>
    </row>
    <row r="58" spans="1:13" ht="12.75">
      <c r="A58" s="11" t="s">
        <v>76</v>
      </c>
      <c r="B58" s="40" t="s">
        <v>77</v>
      </c>
      <c r="C58" s="41"/>
      <c r="D58" s="41"/>
      <c r="E58" s="42">
        <f aca="true" t="shared" si="4" ref="E58:M58">E59+E60</f>
        <v>291068</v>
      </c>
      <c r="F58" s="42">
        <f t="shared" si="4"/>
        <v>0</v>
      </c>
      <c r="G58" s="42">
        <f t="shared" si="4"/>
        <v>17441.1</v>
      </c>
      <c r="H58" s="42">
        <f t="shared" si="4"/>
        <v>0</v>
      </c>
      <c r="I58" s="42">
        <f t="shared" si="4"/>
        <v>0</v>
      </c>
      <c r="J58" s="42">
        <f t="shared" si="4"/>
        <v>0</v>
      </c>
      <c r="K58" s="42">
        <f t="shared" si="4"/>
        <v>0</v>
      </c>
      <c r="L58" s="42">
        <f t="shared" si="4"/>
        <v>811.4148</v>
      </c>
      <c r="M58" s="43">
        <f t="shared" si="4"/>
        <v>309320.5148</v>
      </c>
    </row>
    <row r="59" spans="1:13" ht="22.5">
      <c r="A59" s="11" t="s">
        <v>78</v>
      </c>
      <c r="B59" s="40" t="s">
        <v>79</v>
      </c>
      <c r="C59" s="22"/>
      <c r="D59" s="22"/>
      <c r="E59" s="42">
        <v>291068</v>
      </c>
      <c r="F59" s="22"/>
      <c r="G59" s="22"/>
      <c r="H59" s="29"/>
      <c r="I59" s="29"/>
      <c r="J59" s="29"/>
      <c r="K59" s="29"/>
      <c r="L59" s="29"/>
      <c r="M59" s="33">
        <f>E59+F59</f>
        <v>291068</v>
      </c>
    </row>
    <row r="60" spans="1:13" ht="12.75">
      <c r="A60" s="11" t="s">
        <v>80</v>
      </c>
      <c r="B60" s="44" t="s">
        <v>81</v>
      </c>
      <c r="C60" s="45"/>
      <c r="D60" s="45"/>
      <c r="E60" s="42"/>
      <c r="F60" s="22"/>
      <c r="G60" s="22">
        <v>17441.1</v>
      </c>
      <c r="H60" s="29"/>
      <c r="I60" s="29"/>
      <c r="J60" s="29"/>
      <c r="K60" s="29"/>
      <c r="L60" s="29">
        <v>811.4148</v>
      </c>
      <c r="M60" s="29">
        <f>G60+L60</f>
        <v>18252.514799999997</v>
      </c>
    </row>
    <row r="61" spans="1:13" s="21" customFormat="1" ht="22.5">
      <c r="A61" s="46" t="s">
        <v>82</v>
      </c>
      <c r="B61" s="36" t="s">
        <v>83</v>
      </c>
      <c r="C61" s="17"/>
      <c r="D61" s="17"/>
      <c r="E61" s="47"/>
      <c r="F61" s="48">
        <f>F65+F75</f>
        <v>0</v>
      </c>
      <c r="G61" s="48">
        <f>G65+G75+G66+G74</f>
        <v>7931</v>
      </c>
      <c r="H61" s="49">
        <f>H65+H75+H66+H74+H69+H70+H71+H72+H73+H68</f>
        <v>11677.92</v>
      </c>
      <c r="I61" s="49">
        <f>I65+I75+I66+I74+I69+I70+I71+I72+I73+I68+I62+I67+I64</f>
        <v>14597</v>
      </c>
      <c r="J61" s="49">
        <f>J65+J75+J66+J74+J69+J70+J71+J72+J73+J68+J62+J67+J64</f>
        <v>2583.508</v>
      </c>
      <c r="K61" s="49">
        <f>K65+K75+K66+K74+K69+K70+K71+K72+K73+K68+K62+K67+K64+K63</f>
        <v>7430</v>
      </c>
      <c r="L61" s="49">
        <f>L65+L75+L66+L74+L69+L70+L71+L72+L73+L68+L62+L67+L64+L63</f>
        <v>500</v>
      </c>
      <c r="M61" s="49">
        <f>M65+M75+M66+M74+M69+M70+M71+M72+M73+M68+M62+M67+M64+M63</f>
        <v>44719.428</v>
      </c>
    </row>
    <row r="62" spans="1:13" ht="22.5">
      <c r="A62" s="11" t="s">
        <v>84</v>
      </c>
      <c r="B62" s="50" t="s">
        <v>85</v>
      </c>
      <c r="C62" s="22"/>
      <c r="D62" s="22"/>
      <c r="E62" s="51"/>
      <c r="F62" s="52"/>
      <c r="G62" s="52"/>
      <c r="H62" s="31"/>
      <c r="I62" s="31">
        <v>7000</v>
      </c>
      <c r="J62" s="31"/>
      <c r="K62" s="31"/>
      <c r="L62" s="31"/>
      <c r="M62" s="31">
        <f>I62</f>
        <v>7000</v>
      </c>
    </row>
    <row r="63" spans="1:13" ht="12.75">
      <c r="A63" s="11" t="s">
        <v>86</v>
      </c>
      <c r="B63" s="50" t="s">
        <v>87</v>
      </c>
      <c r="C63" s="22"/>
      <c r="D63" s="22"/>
      <c r="E63" s="51"/>
      <c r="F63" s="52"/>
      <c r="G63" s="52"/>
      <c r="H63" s="31"/>
      <c r="I63" s="31"/>
      <c r="J63" s="31"/>
      <c r="K63" s="31">
        <v>7430</v>
      </c>
      <c r="L63" s="31"/>
      <c r="M63" s="31">
        <f>K63</f>
        <v>7430</v>
      </c>
    </row>
    <row r="64" spans="1:13" ht="22.5">
      <c r="A64" s="11" t="s">
        <v>88</v>
      </c>
      <c r="B64" s="50" t="s">
        <v>89</v>
      </c>
      <c r="C64" s="22"/>
      <c r="D64" s="22"/>
      <c r="E64" s="51"/>
      <c r="F64" s="52"/>
      <c r="G64" s="52"/>
      <c r="H64" s="31"/>
      <c r="I64" s="31">
        <v>4000</v>
      </c>
      <c r="J64" s="31"/>
      <c r="K64" s="31"/>
      <c r="L64" s="31"/>
      <c r="M64" s="31">
        <f>I64</f>
        <v>4000</v>
      </c>
    </row>
    <row r="65" spans="1:13" ht="22.5">
      <c r="A65" s="11" t="s">
        <v>90</v>
      </c>
      <c r="B65" s="40" t="s">
        <v>91</v>
      </c>
      <c r="C65" s="22"/>
      <c r="D65" s="22"/>
      <c r="E65" s="51"/>
      <c r="F65" s="52"/>
      <c r="G65" s="52">
        <v>4739</v>
      </c>
      <c r="H65" s="31">
        <v>-474.04</v>
      </c>
      <c r="I65" s="31"/>
      <c r="J65" s="31">
        <v>2433.508</v>
      </c>
      <c r="K65" s="31"/>
      <c r="L65" s="31"/>
      <c r="M65" s="31">
        <f>G65+H65+J65</f>
        <v>6698.468</v>
      </c>
    </row>
    <row r="66" spans="1:13" ht="22.5">
      <c r="A66" s="11" t="s">
        <v>92</v>
      </c>
      <c r="B66" s="40" t="s">
        <v>93</v>
      </c>
      <c r="C66" s="22"/>
      <c r="D66" s="22"/>
      <c r="E66" s="51"/>
      <c r="F66" s="52"/>
      <c r="G66" s="52">
        <v>3042</v>
      </c>
      <c r="H66" s="31"/>
      <c r="I66" s="31"/>
      <c r="J66" s="31"/>
      <c r="K66" s="31"/>
      <c r="L66" s="31"/>
      <c r="M66" s="31">
        <f>G66</f>
        <v>3042</v>
      </c>
    </row>
    <row r="67" spans="1:13" ht="33.75">
      <c r="A67" s="11" t="s">
        <v>94</v>
      </c>
      <c r="B67" s="40" t="s">
        <v>95</v>
      </c>
      <c r="C67" s="22"/>
      <c r="D67" s="22"/>
      <c r="E67" s="51"/>
      <c r="F67" s="52"/>
      <c r="G67" s="52"/>
      <c r="H67" s="31"/>
      <c r="I67" s="31">
        <v>3347</v>
      </c>
      <c r="J67" s="31"/>
      <c r="K67" s="31"/>
      <c r="L67" s="31"/>
      <c r="M67" s="31">
        <f>I67</f>
        <v>3347</v>
      </c>
    </row>
    <row r="68" spans="1:13" ht="22.5">
      <c r="A68" s="11" t="s">
        <v>96</v>
      </c>
      <c r="B68" s="40" t="s">
        <v>97</v>
      </c>
      <c r="C68" s="22"/>
      <c r="D68" s="22"/>
      <c r="E68" s="51"/>
      <c r="F68" s="52"/>
      <c r="G68" s="52"/>
      <c r="H68" s="31"/>
      <c r="I68" s="31">
        <v>250</v>
      </c>
      <c r="J68" s="31"/>
      <c r="K68" s="31"/>
      <c r="L68" s="31"/>
      <c r="M68" s="31">
        <f>I68</f>
        <v>250</v>
      </c>
    </row>
    <row r="69" spans="1:13" ht="22.5">
      <c r="A69" s="11" t="s">
        <v>98</v>
      </c>
      <c r="B69" s="40" t="s">
        <v>99</v>
      </c>
      <c r="C69" s="22"/>
      <c r="D69" s="22"/>
      <c r="E69" s="51"/>
      <c r="F69" s="52"/>
      <c r="G69" s="52"/>
      <c r="H69" s="31">
        <v>1100</v>
      </c>
      <c r="I69" s="31"/>
      <c r="J69" s="31"/>
      <c r="K69" s="31"/>
      <c r="L69" s="31"/>
      <c r="M69" s="31">
        <f>H69</f>
        <v>1100</v>
      </c>
    </row>
    <row r="70" spans="1:13" ht="12.75">
      <c r="A70" s="11" t="s">
        <v>100</v>
      </c>
      <c r="B70" s="40" t="s">
        <v>101</v>
      </c>
      <c r="C70" s="22"/>
      <c r="D70" s="22"/>
      <c r="E70" s="51"/>
      <c r="F70" s="52"/>
      <c r="G70" s="52"/>
      <c r="H70" s="31">
        <f>6032.36</f>
        <v>6032.36</v>
      </c>
      <c r="I70" s="31"/>
      <c r="J70" s="31"/>
      <c r="K70" s="31"/>
      <c r="L70" s="31"/>
      <c r="M70" s="31">
        <f>H70</f>
        <v>6032.36</v>
      </c>
    </row>
    <row r="71" spans="1:13" ht="22.5">
      <c r="A71" s="11" t="s">
        <v>102</v>
      </c>
      <c r="B71" s="40" t="s">
        <v>103</v>
      </c>
      <c r="C71" s="22"/>
      <c r="D71" s="22"/>
      <c r="E71" s="51"/>
      <c r="F71" s="52"/>
      <c r="G71" s="52"/>
      <c r="H71" s="31">
        <v>738</v>
      </c>
      <c r="I71" s="31"/>
      <c r="J71" s="31"/>
      <c r="K71" s="31"/>
      <c r="L71" s="31"/>
      <c r="M71" s="31">
        <f>H71</f>
        <v>738</v>
      </c>
    </row>
    <row r="72" spans="1:13" ht="22.5">
      <c r="A72" s="11" t="s">
        <v>104</v>
      </c>
      <c r="B72" s="40" t="s">
        <v>105</v>
      </c>
      <c r="C72" s="22"/>
      <c r="D72" s="22"/>
      <c r="E72" s="51"/>
      <c r="F72" s="52"/>
      <c r="G72" s="52"/>
      <c r="H72" s="31">
        <v>3510</v>
      </c>
      <c r="I72" s="31"/>
      <c r="J72" s="31"/>
      <c r="K72" s="31"/>
      <c r="L72" s="31"/>
      <c r="M72" s="31">
        <f>H72</f>
        <v>3510</v>
      </c>
    </row>
    <row r="73" spans="1:13" ht="12.75">
      <c r="A73" s="11" t="s">
        <v>106</v>
      </c>
      <c r="B73" s="40" t="s">
        <v>107</v>
      </c>
      <c r="C73" s="22"/>
      <c r="D73" s="22"/>
      <c r="E73" s="51"/>
      <c r="F73" s="52"/>
      <c r="G73" s="52"/>
      <c r="H73" s="31">
        <v>771.6</v>
      </c>
      <c r="I73" s="31"/>
      <c r="J73" s="31"/>
      <c r="K73" s="31"/>
      <c r="L73" s="31">
        <v>500</v>
      </c>
      <c r="M73" s="31">
        <f>H73+L73</f>
        <v>1271.6</v>
      </c>
    </row>
    <row r="74" spans="1:13" ht="12.75">
      <c r="A74" s="11" t="s">
        <v>108</v>
      </c>
      <c r="B74" s="40" t="s">
        <v>109</v>
      </c>
      <c r="C74" s="22"/>
      <c r="D74" s="22"/>
      <c r="E74" s="51"/>
      <c r="F74" s="52"/>
      <c r="G74" s="52">
        <v>150</v>
      </c>
      <c r="H74" s="31"/>
      <c r="I74" s="31"/>
      <c r="J74" s="31">
        <v>150</v>
      </c>
      <c r="K74" s="31"/>
      <c r="L74" s="31"/>
      <c r="M74" s="31">
        <f>G74+J74</f>
        <v>300</v>
      </c>
    </row>
    <row r="75" spans="1:13" ht="22.5">
      <c r="A75" s="11" t="s">
        <v>110</v>
      </c>
      <c r="B75" s="40" t="s">
        <v>111</v>
      </c>
      <c r="C75" s="22"/>
      <c r="D75" s="22"/>
      <c r="E75" s="51"/>
      <c r="F75" s="52"/>
      <c r="G75" s="52"/>
      <c r="H75" s="31"/>
      <c r="I75" s="31"/>
      <c r="J75" s="31"/>
      <c r="K75" s="31"/>
      <c r="L75" s="31"/>
      <c r="M75" s="31">
        <f>G75</f>
        <v>0</v>
      </c>
    </row>
    <row r="76" spans="1:13" s="21" customFormat="1" ht="22.5">
      <c r="A76" s="46" t="s">
        <v>112</v>
      </c>
      <c r="B76" s="53" t="s">
        <v>113</v>
      </c>
      <c r="C76" s="17"/>
      <c r="D76" s="17"/>
      <c r="E76" s="54">
        <f>E77+E78+E79+E80+E82+E83+E84+E85+E86+E87+E88+E89+E90+E91+E92+E93+E94+E95+E96+E97+E98+E99+E100+E101+E102+E103+E104+E111</f>
        <v>758025.125</v>
      </c>
      <c r="F76" s="54">
        <f>F77+F78+F79+F80+F82+F83+F84+F85+F86+F87+F88+F89+F90+F91+F92+F93+F94+F95+F96+F97+F98+F99+F100+F101+F102+F103+F104+F111</f>
        <v>8241</v>
      </c>
      <c r="G76" s="54">
        <f aca="true" t="shared" si="5" ref="G76:M76">G77+G78+G79+G80+G82+G83+G84+G85+G86+G87+G88+G89+G90+G91+G92+G93+G94+G95+G96+G97+G98+G99+G100+G101+G102+G103+G104+G111+G81</f>
        <v>759</v>
      </c>
      <c r="H76" s="55">
        <f t="shared" si="5"/>
        <v>-65249.644</v>
      </c>
      <c r="I76" s="55">
        <f t="shared" si="5"/>
        <v>5074.406</v>
      </c>
      <c r="J76" s="55">
        <f t="shared" si="5"/>
        <v>0</v>
      </c>
      <c r="K76" s="55">
        <f t="shared" si="5"/>
        <v>1402.9999999999998</v>
      </c>
      <c r="L76" s="62">
        <f t="shared" si="5"/>
        <v>-2603.87457</v>
      </c>
      <c r="M76" s="62">
        <f t="shared" si="5"/>
        <v>705649.01243</v>
      </c>
    </row>
    <row r="77" spans="1:13" ht="46.5" customHeight="1">
      <c r="A77" s="11" t="s">
        <v>114</v>
      </c>
      <c r="B77" s="40" t="s">
        <v>115</v>
      </c>
      <c r="C77" s="22"/>
      <c r="D77" s="22"/>
      <c r="E77" s="43">
        <v>279.234</v>
      </c>
      <c r="F77" s="22"/>
      <c r="G77" s="22"/>
      <c r="H77" s="29"/>
      <c r="I77" s="29"/>
      <c r="J77" s="29"/>
      <c r="K77" s="29"/>
      <c r="L77" s="29"/>
      <c r="M77" s="33">
        <f>E77+F77</f>
        <v>279.234</v>
      </c>
    </row>
    <row r="78" spans="1:13" ht="22.5">
      <c r="A78" s="11" t="s">
        <v>116</v>
      </c>
      <c r="B78" s="40" t="s">
        <v>117</v>
      </c>
      <c r="C78" s="22"/>
      <c r="D78" s="22"/>
      <c r="E78" s="43">
        <v>200</v>
      </c>
      <c r="F78" s="22"/>
      <c r="G78" s="22"/>
      <c r="H78" s="29"/>
      <c r="I78" s="29"/>
      <c r="J78" s="29"/>
      <c r="K78" s="29"/>
      <c r="L78" s="29">
        <v>45</v>
      </c>
      <c r="M78" s="33">
        <f>E78+F78+L78</f>
        <v>245</v>
      </c>
    </row>
    <row r="79" spans="1:13" ht="22.5">
      <c r="A79" s="11" t="s">
        <v>118</v>
      </c>
      <c r="B79" s="40" t="s">
        <v>119</v>
      </c>
      <c r="C79" s="22"/>
      <c r="D79" s="22"/>
      <c r="E79" s="43">
        <v>1820.016</v>
      </c>
      <c r="F79" s="22"/>
      <c r="G79" s="22"/>
      <c r="H79" s="29">
        <v>292.33</v>
      </c>
      <c r="I79" s="29"/>
      <c r="J79" s="29"/>
      <c r="K79" s="29"/>
      <c r="L79" s="29">
        <v>75.213</v>
      </c>
      <c r="M79" s="33">
        <f>E79+F79+H79+L79</f>
        <v>2187.559</v>
      </c>
    </row>
    <row r="80" spans="1:13" ht="22.5">
      <c r="A80" s="11" t="s">
        <v>120</v>
      </c>
      <c r="B80" s="40" t="s">
        <v>121</v>
      </c>
      <c r="C80" s="22"/>
      <c r="D80" s="22"/>
      <c r="E80" s="56">
        <v>810</v>
      </c>
      <c r="F80" s="22"/>
      <c r="G80" s="22"/>
      <c r="H80" s="29"/>
      <c r="I80" s="29"/>
      <c r="J80" s="29"/>
      <c r="K80" s="29"/>
      <c r="L80" s="29"/>
      <c r="M80" s="33">
        <f>E80+F80</f>
        <v>810</v>
      </c>
    </row>
    <row r="81" spans="1:13" ht="22.5">
      <c r="A81" s="11" t="s">
        <v>122</v>
      </c>
      <c r="B81" s="40" t="s">
        <v>123</v>
      </c>
      <c r="C81" s="22"/>
      <c r="D81" s="22"/>
      <c r="E81" s="43"/>
      <c r="F81" s="22"/>
      <c r="G81" s="22">
        <v>9000</v>
      </c>
      <c r="H81" s="29"/>
      <c r="I81" s="29"/>
      <c r="J81" s="29"/>
      <c r="K81" s="29"/>
      <c r="L81" s="29"/>
      <c r="M81" s="33">
        <f>G81</f>
        <v>9000</v>
      </c>
    </row>
    <row r="82" spans="1:13" ht="22.5">
      <c r="A82" s="11" t="s">
        <v>124</v>
      </c>
      <c r="B82" s="40" t="s">
        <v>125</v>
      </c>
      <c r="C82" s="22"/>
      <c r="D82" s="22"/>
      <c r="E82" s="43">
        <v>21262</v>
      </c>
      <c r="F82" s="22"/>
      <c r="G82" s="22"/>
      <c r="H82" s="31">
        <v>-9567</v>
      </c>
      <c r="I82" s="31"/>
      <c r="J82" s="31"/>
      <c r="K82" s="31"/>
      <c r="L82" s="31">
        <v>-3558.40517</v>
      </c>
      <c r="M82" s="33">
        <f>E82+F82+H82+L82</f>
        <v>8136.59483</v>
      </c>
    </row>
    <row r="83" spans="1:13" ht="12.75">
      <c r="A83" s="11" t="s">
        <v>126</v>
      </c>
      <c r="B83" s="40" t="s">
        <v>4</v>
      </c>
      <c r="C83" s="57"/>
      <c r="D83" s="57"/>
      <c r="E83" s="43">
        <v>86061</v>
      </c>
      <c r="F83" s="22"/>
      <c r="G83" s="22"/>
      <c r="H83" s="29"/>
      <c r="I83" s="29"/>
      <c r="J83" s="29"/>
      <c r="K83" s="29">
        <v>823</v>
      </c>
      <c r="L83" s="29"/>
      <c r="M83" s="33">
        <f>E83+F83+K83</f>
        <v>86884</v>
      </c>
    </row>
    <row r="84" spans="1:13" ht="22.5">
      <c r="A84" s="11" t="s">
        <v>127</v>
      </c>
      <c r="B84" s="58" t="s">
        <v>128</v>
      </c>
      <c r="C84" s="57"/>
      <c r="D84" s="57"/>
      <c r="E84" s="43">
        <v>30643</v>
      </c>
      <c r="F84" s="22"/>
      <c r="G84" s="22"/>
      <c r="H84" s="29"/>
      <c r="I84" s="29"/>
      <c r="J84" s="29"/>
      <c r="K84" s="29"/>
      <c r="L84" s="29"/>
      <c r="M84" s="33">
        <f>E84+F84</f>
        <v>30643</v>
      </c>
    </row>
    <row r="85" spans="1:13" ht="22.5">
      <c r="A85" s="11" t="s">
        <v>129</v>
      </c>
      <c r="B85" s="40" t="s">
        <v>130</v>
      </c>
      <c r="C85" s="57"/>
      <c r="D85" s="57"/>
      <c r="E85" s="43">
        <v>1206</v>
      </c>
      <c r="F85" s="22"/>
      <c r="G85" s="22"/>
      <c r="H85" s="29"/>
      <c r="I85" s="29"/>
      <c r="J85" s="29"/>
      <c r="K85" s="29"/>
      <c r="L85" s="29"/>
      <c r="M85" s="33">
        <f>E85+F85</f>
        <v>1206</v>
      </c>
    </row>
    <row r="86" spans="1:13" ht="22.5">
      <c r="A86" s="11" t="s">
        <v>131</v>
      </c>
      <c r="B86" s="59" t="s">
        <v>132</v>
      </c>
      <c r="C86" s="22"/>
      <c r="D86" s="22"/>
      <c r="E86" s="43">
        <v>72385</v>
      </c>
      <c r="F86" s="22"/>
      <c r="G86" s="22"/>
      <c r="H86" s="29"/>
      <c r="I86" s="29"/>
      <c r="J86" s="29"/>
      <c r="K86" s="29"/>
      <c r="L86" s="29"/>
      <c r="M86" s="33">
        <f>E86+F86</f>
        <v>72385</v>
      </c>
    </row>
    <row r="87" spans="1:13" ht="33.75">
      <c r="A87" s="11" t="s">
        <v>133</v>
      </c>
      <c r="B87" s="59" t="s">
        <v>134</v>
      </c>
      <c r="C87" s="22"/>
      <c r="D87" s="22"/>
      <c r="E87" s="43">
        <v>506</v>
      </c>
      <c r="F87" s="22"/>
      <c r="G87" s="22"/>
      <c r="H87" s="29"/>
      <c r="I87" s="29"/>
      <c r="J87" s="29"/>
      <c r="K87" s="29"/>
      <c r="L87" s="29"/>
      <c r="M87" s="33">
        <f>E87+F87</f>
        <v>506</v>
      </c>
    </row>
    <row r="88" spans="1:13" ht="22.5">
      <c r="A88" s="11" t="s">
        <v>135</v>
      </c>
      <c r="B88" s="59" t="s">
        <v>136</v>
      </c>
      <c r="C88" s="22"/>
      <c r="D88" s="22"/>
      <c r="E88" s="43">
        <v>51.375</v>
      </c>
      <c r="F88" s="22"/>
      <c r="G88" s="22"/>
      <c r="H88" s="29"/>
      <c r="I88" s="29"/>
      <c r="J88" s="29"/>
      <c r="K88" s="29"/>
      <c r="L88" s="29"/>
      <c r="M88" s="33">
        <f>E88+F88</f>
        <v>51.375</v>
      </c>
    </row>
    <row r="89" spans="1:13" ht="22.5">
      <c r="A89" s="11" t="s">
        <v>137</v>
      </c>
      <c r="B89" s="59" t="s">
        <v>138</v>
      </c>
      <c r="C89" s="22"/>
      <c r="D89" s="22"/>
      <c r="E89" s="43">
        <v>982.7</v>
      </c>
      <c r="F89" s="22"/>
      <c r="G89" s="22"/>
      <c r="H89" s="29"/>
      <c r="I89" s="29"/>
      <c r="J89" s="29"/>
      <c r="K89" s="29"/>
      <c r="L89" s="29">
        <v>53.6176</v>
      </c>
      <c r="M89" s="33">
        <f>E89+F89+L89</f>
        <v>1036.3176</v>
      </c>
    </row>
    <row r="90" spans="1:13" ht="22.5">
      <c r="A90" s="11" t="s">
        <v>139</v>
      </c>
      <c r="B90" s="59" t="s">
        <v>140</v>
      </c>
      <c r="C90" s="22"/>
      <c r="D90" s="22"/>
      <c r="E90" s="43">
        <v>1248</v>
      </c>
      <c r="F90" s="22"/>
      <c r="G90" s="22"/>
      <c r="H90" s="29"/>
      <c r="I90" s="29"/>
      <c r="J90" s="29"/>
      <c r="K90" s="29">
        <v>1395.2</v>
      </c>
      <c r="L90" s="29"/>
      <c r="M90" s="33">
        <f>E90+F90+K90</f>
        <v>2643.2</v>
      </c>
    </row>
    <row r="91" spans="1:13" ht="12.75">
      <c r="A91" s="11" t="s">
        <v>141</v>
      </c>
      <c r="B91" s="59" t="s">
        <v>142</v>
      </c>
      <c r="C91" s="22"/>
      <c r="D91" s="22"/>
      <c r="E91" s="43">
        <v>350649</v>
      </c>
      <c r="F91" s="22"/>
      <c r="G91" s="22"/>
      <c r="H91" s="29">
        <v>-51130.3</v>
      </c>
      <c r="I91" s="29"/>
      <c r="J91" s="29"/>
      <c r="K91" s="29">
        <f>7.8-823</f>
        <v>-815.2</v>
      </c>
      <c r="L91" s="29">
        <v>1180.7</v>
      </c>
      <c r="M91" s="33">
        <f>E91+F91+H91+K91+L91</f>
        <v>299884.2</v>
      </c>
    </row>
    <row r="92" spans="1:13" ht="22.5">
      <c r="A92" s="11" t="s">
        <v>143</v>
      </c>
      <c r="B92" s="59" t="s">
        <v>144</v>
      </c>
      <c r="C92" s="22"/>
      <c r="D92" s="22"/>
      <c r="E92" s="43">
        <v>99841</v>
      </c>
      <c r="F92" s="22"/>
      <c r="G92" s="22"/>
      <c r="H92" s="29"/>
      <c r="I92" s="29"/>
      <c r="J92" s="29"/>
      <c r="K92" s="29"/>
      <c r="L92" s="29"/>
      <c r="M92" s="33">
        <f aca="true" t="shared" si="6" ref="M92:M100">E92+F92</f>
        <v>99841</v>
      </c>
    </row>
    <row r="93" spans="1:13" ht="22.5">
      <c r="A93" s="11" t="s">
        <v>145</v>
      </c>
      <c r="B93" s="59" t="s">
        <v>146</v>
      </c>
      <c r="C93" s="22"/>
      <c r="D93" s="22"/>
      <c r="E93" s="43">
        <v>651</v>
      </c>
      <c r="F93" s="22"/>
      <c r="G93" s="22"/>
      <c r="H93" s="29"/>
      <c r="I93" s="29"/>
      <c r="J93" s="29"/>
      <c r="K93" s="29"/>
      <c r="L93" s="29"/>
      <c r="M93" s="33">
        <f t="shared" si="6"/>
        <v>651</v>
      </c>
    </row>
    <row r="94" spans="1:13" ht="22.5">
      <c r="A94" s="11" t="s">
        <v>147</v>
      </c>
      <c r="B94" s="59" t="s">
        <v>148</v>
      </c>
      <c r="C94" s="22"/>
      <c r="D94" s="22"/>
      <c r="E94" s="43">
        <v>9150</v>
      </c>
      <c r="F94" s="22"/>
      <c r="G94" s="22"/>
      <c r="H94" s="29"/>
      <c r="I94" s="29"/>
      <c r="J94" s="29"/>
      <c r="K94" s="29"/>
      <c r="L94" s="29"/>
      <c r="M94" s="33">
        <f t="shared" si="6"/>
        <v>9150</v>
      </c>
    </row>
    <row r="95" spans="1:13" ht="12.75">
      <c r="A95" s="11" t="s">
        <v>149</v>
      </c>
      <c r="B95" s="59" t="s">
        <v>150</v>
      </c>
      <c r="C95" s="22"/>
      <c r="D95" s="22"/>
      <c r="E95" s="43">
        <v>17776</v>
      </c>
      <c r="F95" s="22"/>
      <c r="G95" s="22"/>
      <c r="H95" s="29"/>
      <c r="I95" s="29"/>
      <c r="J95" s="29"/>
      <c r="K95" s="29"/>
      <c r="L95" s="29"/>
      <c r="M95" s="33">
        <f t="shared" si="6"/>
        <v>17776</v>
      </c>
    </row>
    <row r="96" spans="1:13" ht="33.75">
      <c r="A96" s="11" t="s">
        <v>151</v>
      </c>
      <c r="B96" s="60" t="s">
        <v>152</v>
      </c>
      <c r="C96" s="22"/>
      <c r="D96" s="22"/>
      <c r="E96" s="43">
        <v>11.9</v>
      </c>
      <c r="F96" s="22"/>
      <c r="G96" s="22"/>
      <c r="H96" s="29"/>
      <c r="I96" s="29"/>
      <c r="J96" s="29"/>
      <c r="K96" s="29"/>
      <c r="L96" s="29"/>
      <c r="M96" s="33">
        <f t="shared" si="6"/>
        <v>11.9</v>
      </c>
    </row>
    <row r="97" spans="1:13" ht="22.5">
      <c r="A97" s="11" t="s">
        <v>153</v>
      </c>
      <c r="B97" s="59" t="s">
        <v>154</v>
      </c>
      <c r="C97" s="22"/>
      <c r="D97" s="22"/>
      <c r="E97" s="43">
        <v>749.9</v>
      </c>
      <c r="F97" s="22"/>
      <c r="G97" s="22"/>
      <c r="H97" s="29"/>
      <c r="I97" s="29"/>
      <c r="J97" s="29"/>
      <c r="K97" s="29"/>
      <c r="L97" s="29"/>
      <c r="M97" s="33">
        <f t="shared" si="6"/>
        <v>749.9</v>
      </c>
    </row>
    <row r="98" spans="1:13" ht="12.75">
      <c r="A98" s="11" t="s">
        <v>155</v>
      </c>
      <c r="B98" s="59" t="s">
        <v>156</v>
      </c>
      <c r="C98" s="22"/>
      <c r="D98" s="22"/>
      <c r="E98" s="43">
        <v>580</v>
      </c>
      <c r="F98" s="22"/>
      <c r="G98" s="22"/>
      <c r="H98" s="29"/>
      <c r="I98" s="29"/>
      <c r="J98" s="29"/>
      <c r="K98" s="29"/>
      <c r="L98" s="29"/>
      <c r="M98" s="33">
        <f t="shared" si="6"/>
        <v>580</v>
      </c>
    </row>
    <row r="99" spans="1:13" ht="22.5">
      <c r="A99" s="11" t="s">
        <v>157</v>
      </c>
      <c r="B99" s="59" t="s">
        <v>158</v>
      </c>
      <c r="C99" s="22"/>
      <c r="D99" s="22"/>
      <c r="E99" s="43">
        <v>4679</v>
      </c>
      <c r="F99" s="22"/>
      <c r="G99" s="22"/>
      <c r="H99" s="29"/>
      <c r="I99" s="29"/>
      <c r="J99" s="29"/>
      <c r="K99" s="29"/>
      <c r="L99" s="29"/>
      <c r="M99" s="33">
        <f t="shared" si="6"/>
        <v>4679</v>
      </c>
    </row>
    <row r="100" spans="1:13" ht="33.75">
      <c r="A100" s="11" t="s">
        <v>159</v>
      </c>
      <c r="B100" s="59" t="s">
        <v>160</v>
      </c>
      <c r="C100" s="22"/>
      <c r="D100" s="22"/>
      <c r="E100" s="43">
        <v>2319</v>
      </c>
      <c r="F100" s="22"/>
      <c r="G100" s="22"/>
      <c r="H100" s="29"/>
      <c r="I100" s="29"/>
      <c r="J100" s="29"/>
      <c r="K100" s="29"/>
      <c r="L100" s="29"/>
      <c r="M100" s="33">
        <f t="shared" si="6"/>
        <v>2319</v>
      </c>
    </row>
    <row r="101" spans="1:13" ht="22.5">
      <c r="A101" s="11" t="s">
        <v>161</v>
      </c>
      <c r="B101" s="40" t="s">
        <v>162</v>
      </c>
      <c r="C101" s="22"/>
      <c r="D101" s="22"/>
      <c r="E101" s="43">
        <v>8580</v>
      </c>
      <c r="F101" s="22">
        <v>8241</v>
      </c>
      <c r="G101" s="22">
        <v>-8241</v>
      </c>
      <c r="H101" s="29">
        <v>-4844.674</v>
      </c>
      <c r="I101" s="29">
        <v>5074.406</v>
      </c>
      <c r="J101" s="29"/>
      <c r="K101" s="29"/>
      <c r="L101" s="29"/>
      <c r="M101" s="33">
        <f>E101+F101+G101+H101+I101</f>
        <v>8809.732</v>
      </c>
    </row>
    <row r="102" spans="1:13" ht="22.5">
      <c r="A102" s="11" t="s">
        <v>163</v>
      </c>
      <c r="B102" s="40" t="s">
        <v>164</v>
      </c>
      <c r="C102" s="22"/>
      <c r="D102" s="22"/>
      <c r="E102" s="56">
        <v>25552</v>
      </c>
      <c r="F102" s="22"/>
      <c r="G102" s="22"/>
      <c r="H102" s="29"/>
      <c r="I102" s="29"/>
      <c r="J102" s="29"/>
      <c r="K102" s="29"/>
      <c r="L102" s="29"/>
      <c r="M102" s="33">
        <f aca="true" t="shared" si="7" ref="M102:M110">E102+F102</f>
        <v>25552</v>
      </c>
    </row>
    <row r="103" spans="1:13" ht="33.75">
      <c r="A103" s="11" t="s">
        <v>165</v>
      </c>
      <c r="B103" s="40" t="s">
        <v>166</v>
      </c>
      <c r="C103" s="22"/>
      <c r="D103" s="22"/>
      <c r="E103" s="43">
        <v>12034</v>
      </c>
      <c r="F103" s="22"/>
      <c r="G103" s="22"/>
      <c r="H103" s="29"/>
      <c r="I103" s="29"/>
      <c r="J103" s="29"/>
      <c r="K103" s="29"/>
      <c r="L103" s="29"/>
      <c r="M103" s="33">
        <f t="shared" si="7"/>
        <v>12034</v>
      </c>
    </row>
    <row r="104" spans="1:13" ht="33.75">
      <c r="A104" s="11" t="s">
        <v>167</v>
      </c>
      <c r="B104" s="61" t="s">
        <v>168</v>
      </c>
      <c r="C104" s="22"/>
      <c r="D104" s="22"/>
      <c r="E104" s="43">
        <v>6894</v>
      </c>
      <c r="F104" s="22"/>
      <c r="G104" s="22"/>
      <c r="H104" s="29"/>
      <c r="I104" s="29"/>
      <c r="J104" s="29"/>
      <c r="K104" s="29"/>
      <c r="L104" s="29"/>
      <c r="M104" s="33">
        <f t="shared" si="7"/>
        <v>6894</v>
      </c>
    </row>
    <row r="105" spans="1:13" ht="33.75" hidden="1">
      <c r="A105" s="11" t="s">
        <v>169</v>
      </c>
      <c r="B105" s="61" t="s">
        <v>168</v>
      </c>
      <c r="C105" s="22"/>
      <c r="D105" s="22"/>
      <c r="E105" s="42">
        <f>E106+E107+E108+E109+E110</f>
        <v>0</v>
      </c>
      <c r="F105" s="22"/>
      <c r="G105" s="22"/>
      <c r="H105" s="29"/>
      <c r="I105" s="29"/>
      <c r="J105" s="29"/>
      <c r="K105" s="29"/>
      <c r="L105" s="29"/>
      <c r="M105" s="33">
        <f t="shared" si="7"/>
        <v>0</v>
      </c>
    </row>
    <row r="106" spans="1:13" ht="33.75" hidden="1">
      <c r="A106" s="11" t="s">
        <v>170</v>
      </c>
      <c r="B106" s="61" t="s">
        <v>168</v>
      </c>
      <c r="C106" s="22"/>
      <c r="D106" s="22"/>
      <c r="E106" s="42"/>
      <c r="F106" s="22"/>
      <c r="G106" s="22"/>
      <c r="H106" s="29"/>
      <c r="I106" s="29"/>
      <c r="J106" s="29"/>
      <c r="K106" s="29"/>
      <c r="L106" s="29"/>
      <c r="M106" s="33">
        <f t="shared" si="7"/>
        <v>0</v>
      </c>
    </row>
    <row r="107" spans="1:13" ht="33.75" hidden="1">
      <c r="A107" s="11" t="s">
        <v>171</v>
      </c>
      <c r="B107" s="61" t="s">
        <v>168</v>
      </c>
      <c r="C107" s="22"/>
      <c r="D107" s="22"/>
      <c r="E107" s="42"/>
      <c r="F107" s="22"/>
      <c r="G107" s="22"/>
      <c r="H107" s="29"/>
      <c r="I107" s="29"/>
      <c r="J107" s="29"/>
      <c r="K107" s="29"/>
      <c r="L107" s="29"/>
      <c r="M107" s="33">
        <f t="shared" si="7"/>
        <v>0</v>
      </c>
    </row>
    <row r="108" spans="1:13" ht="33.75" hidden="1">
      <c r="A108" s="11" t="s">
        <v>172</v>
      </c>
      <c r="B108" s="61" t="s">
        <v>168</v>
      </c>
      <c r="C108" s="22"/>
      <c r="D108" s="22"/>
      <c r="E108" s="42"/>
      <c r="F108" s="22"/>
      <c r="G108" s="22"/>
      <c r="H108" s="29"/>
      <c r="I108" s="29"/>
      <c r="J108" s="29"/>
      <c r="K108" s="29"/>
      <c r="L108" s="29"/>
      <c r="M108" s="33">
        <f t="shared" si="7"/>
        <v>0</v>
      </c>
    </row>
    <row r="109" spans="1:13" ht="33.75" hidden="1">
      <c r="A109" s="11" t="s">
        <v>173</v>
      </c>
      <c r="B109" s="61" t="s">
        <v>168</v>
      </c>
      <c r="C109" s="22"/>
      <c r="D109" s="22"/>
      <c r="E109" s="42"/>
      <c r="F109" s="22"/>
      <c r="G109" s="22"/>
      <c r="H109" s="29"/>
      <c r="I109" s="29"/>
      <c r="J109" s="29"/>
      <c r="K109" s="29"/>
      <c r="L109" s="29"/>
      <c r="M109" s="33">
        <f t="shared" si="7"/>
        <v>0</v>
      </c>
    </row>
    <row r="110" spans="1:13" ht="33.75" hidden="1">
      <c r="A110" s="11" t="s">
        <v>174</v>
      </c>
      <c r="B110" s="61" t="s">
        <v>168</v>
      </c>
      <c r="C110" s="22"/>
      <c r="D110" s="22"/>
      <c r="E110" s="42"/>
      <c r="F110" s="22"/>
      <c r="G110" s="22"/>
      <c r="H110" s="29"/>
      <c r="I110" s="29"/>
      <c r="J110" s="29"/>
      <c r="K110" s="29"/>
      <c r="L110" s="29"/>
      <c r="M110" s="33">
        <f t="shared" si="7"/>
        <v>0</v>
      </c>
    </row>
    <row r="111" spans="1:13" ht="33.75">
      <c r="A111" s="11" t="s">
        <v>175</v>
      </c>
      <c r="B111" s="61" t="s">
        <v>176</v>
      </c>
      <c r="C111" s="22"/>
      <c r="D111" s="22"/>
      <c r="E111" s="42">
        <v>1104</v>
      </c>
      <c r="F111" s="22"/>
      <c r="G111" s="22"/>
      <c r="H111" s="29"/>
      <c r="I111" s="29"/>
      <c r="J111" s="29"/>
      <c r="K111" s="29"/>
      <c r="L111" s="29">
        <v>-400</v>
      </c>
      <c r="M111" s="33">
        <f>E111+F111+L111</f>
        <v>704</v>
      </c>
    </row>
    <row r="112" spans="1:13" ht="12.75">
      <c r="A112" s="11" t="s">
        <v>177</v>
      </c>
      <c r="B112" s="36" t="s">
        <v>178</v>
      </c>
      <c r="C112" s="22"/>
      <c r="D112" s="22"/>
      <c r="E112" s="54">
        <f>E114</f>
        <v>0</v>
      </c>
      <c r="F112" s="54">
        <f>F114+F113</f>
        <v>16217.419999999998</v>
      </c>
      <c r="G112" s="54">
        <f>G114+G113</f>
        <v>3087.4</v>
      </c>
      <c r="H112" s="55">
        <f>SUM(H113:H116)</f>
        <v>294.056</v>
      </c>
      <c r="I112" s="55">
        <f>SUM(I113:I119)</f>
        <v>21282.96</v>
      </c>
      <c r="J112" s="62">
        <f>SUM(J113:J119)</f>
        <v>313.08115</v>
      </c>
      <c r="K112" s="62">
        <f>SUM(K113:K119)</f>
        <v>463.706</v>
      </c>
      <c r="L112" s="202">
        <f>SUM(L113:L119)</f>
        <v>-74.64723</v>
      </c>
      <c r="M112" s="202">
        <f>SUM(M113:M119)</f>
        <v>41583.97592</v>
      </c>
    </row>
    <row r="113" spans="1:13" ht="33.75">
      <c r="A113" s="11" t="s">
        <v>179</v>
      </c>
      <c r="B113" s="50" t="s">
        <v>180</v>
      </c>
      <c r="C113" s="22"/>
      <c r="D113" s="22"/>
      <c r="E113" s="54"/>
      <c r="F113" s="54"/>
      <c r="G113" s="42">
        <v>2129.4</v>
      </c>
      <c r="H113" s="43"/>
      <c r="I113" s="43"/>
      <c r="J113" s="43"/>
      <c r="K113" s="43"/>
      <c r="L113" s="43">
        <f>-158.44723+25</f>
        <v>-133.44723</v>
      </c>
      <c r="M113" s="43">
        <f>G113+L113</f>
        <v>1995.95277</v>
      </c>
    </row>
    <row r="114" spans="1:13" ht="33.75">
      <c r="A114" s="11" t="s">
        <v>181</v>
      </c>
      <c r="B114" s="50" t="s">
        <v>182</v>
      </c>
      <c r="C114" s="22"/>
      <c r="D114" s="22"/>
      <c r="E114" s="42"/>
      <c r="F114" s="22">
        <f>500+822.6+300+2373.02+9644.8+2577</f>
        <v>16217.419999999998</v>
      </c>
      <c r="G114" s="63">
        <f>700+258</f>
        <v>958</v>
      </c>
      <c r="H114" s="64"/>
      <c r="I114" s="64"/>
      <c r="J114" s="64"/>
      <c r="K114" s="64"/>
      <c r="L114" s="64"/>
      <c r="M114" s="33">
        <f>E114+F114+G114</f>
        <v>17175.42</v>
      </c>
    </row>
    <row r="115" spans="1:13" ht="22.5">
      <c r="A115" s="11" t="s">
        <v>183</v>
      </c>
      <c r="B115" s="50" t="s">
        <v>184</v>
      </c>
      <c r="C115" s="22"/>
      <c r="D115" s="22"/>
      <c r="E115" s="42"/>
      <c r="F115" s="22"/>
      <c r="G115" s="63"/>
      <c r="H115" s="64"/>
      <c r="I115" s="64">
        <v>99.5</v>
      </c>
      <c r="J115" s="64"/>
      <c r="K115" s="64"/>
      <c r="L115" s="64"/>
      <c r="M115" s="33">
        <f>I115</f>
        <v>99.5</v>
      </c>
    </row>
    <row r="116" spans="1:13" ht="22.5">
      <c r="A116" s="11" t="s">
        <v>185</v>
      </c>
      <c r="B116" s="50" t="s">
        <v>186</v>
      </c>
      <c r="C116" s="22"/>
      <c r="D116" s="22"/>
      <c r="E116" s="42"/>
      <c r="F116" s="22"/>
      <c r="G116" s="63"/>
      <c r="H116" s="31">
        <v>294.056</v>
      </c>
      <c r="I116" s="31"/>
      <c r="J116" s="31"/>
      <c r="K116" s="31">
        <v>463.706</v>
      </c>
      <c r="L116" s="31"/>
      <c r="M116" s="65">
        <f>H116+K116</f>
        <v>757.762</v>
      </c>
    </row>
    <row r="117" spans="1:13" ht="22.5">
      <c r="A117" s="11" t="s">
        <v>187</v>
      </c>
      <c r="B117" s="50" t="s">
        <v>188</v>
      </c>
      <c r="C117" s="22"/>
      <c r="D117" s="22"/>
      <c r="E117" s="42"/>
      <c r="F117" s="22"/>
      <c r="G117" s="63"/>
      <c r="H117" s="31"/>
      <c r="I117" s="31">
        <v>18064.66</v>
      </c>
      <c r="J117" s="31"/>
      <c r="K117" s="31"/>
      <c r="L117" s="31"/>
      <c r="M117" s="33">
        <f>I117</f>
        <v>18064.66</v>
      </c>
    </row>
    <row r="118" spans="1:13" ht="12.75">
      <c r="A118" s="11" t="s">
        <v>518</v>
      </c>
      <c r="B118" s="50" t="s">
        <v>519</v>
      </c>
      <c r="C118" s="22"/>
      <c r="D118" s="22"/>
      <c r="E118" s="42"/>
      <c r="F118" s="22"/>
      <c r="G118" s="63"/>
      <c r="H118" s="31"/>
      <c r="I118" s="31"/>
      <c r="J118" s="31"/>
      <c r="K118" s="31"/>
      <c r="L118" s="31">
        <v>58.8</v>
      </c>
      <c r="M118" s="33">
        <f>L118</f>
        <v>58.8</v>
      </c>
    </row>
    <row r="119" spans="1:13" ht="22.5">
      <c r="A119" s="11" t="s">
        <v>189</v>
      </c>
      <c r="B119" s="50" t="s">
        <v>190</v>
      </c>
      <c r="C119" s="22"/>
      <c r="D119" s="22"/>
      <c r="E119" s="42"/>
      <c r="F119" s="22"/>
      <c r="G119" s="63"/>
      <c r="H119" s="31"/>
      <c r="I119" s="31">
        <v>3118.8</v>
      </c>
      <c r="J119" s="31">
        <v>313.08115</v>
      </c>
      <c r="K119" s="31"/>
      <c r="L119" s="31"/>
      <c r="M119" s="33">
        <f>I119+J119</f>
        <v>3431.88115</v>
      </c>
    </row>
    <row r="120" spans="1:13" s="21" customFormat="1" ht="12.75">
      <c r="A120" s="17"/>
      <c r="B120" s="17" t="s">
        <v>191</v>
      </c>
      <c r="C120" s="17"/>
      <c r="D120" s="17"/>
      <c r="E120" s="37">
        <f aca="true" t="shared" si="8" ref="E120:M120">E21+E57</f>
        <v>1480716.625</v>
      </c>
      <c r="F120" s="37">
        <f t="shared" si="8"/>
        <v>25390.42</v>
      </c>
      <c r="G120" s="37">
        <f t="shared" si="8"/>
        <v>29218.5</v>
      </c>
      <c r="H120" s="38">
        <f t="shared" si="8"/>
        <v>-36670.648</v>
      </c>
      <c r="I120" s="38">
        <f t="shared" si="8"/>
        <v>49824.365999999995</v>
      </c>
      <c r="J120" s="39">
        <f t="shared" si="8"/>
        <v>11081.58915</v>
      </c>
      <c r="K120" s="39">
        <f t="shared" si="8"/>
        <v>9296.706</v>
      </c>
      <c r="L120" s="39">
        <f t="shared" si="8"/>
        <v>-1367.107</v>
      </c>
      <c r="M120" s="39">
        <f t="shared" si="8"/>
        <v>1567490.45115</v>
      </c>
    </row>
    <row r="121" spans="1:5" ht="12.75">
      <c r="A121" s="1"/>
      <c r="B121" s="1"/>
      <c r="C121" s="1"/>
      <c r="D121" s="1"/>
      <c r="E121" s="1"/>
    </row>
    <row r="122" spans="1:12" ht="12.75">
      <c r="A122" s="1"/>
      <c r="B122" s="1"/>
      <c r="C122" s="1"/>
      <c r="D122" s="1"/>
      <c r="E122" s="1"/>
      <c r="G122" s="66"/>
      <c r="H122" s="67"/>
      <c r="I122" s="67"/>
      <c r="J122" s="67"/>
      <c r="K122" s="67">
        <f>K120-'расходная часть'!R326</f>
        <v>0</v>
      </c>
      <c r="L122" s="67"/>
    </row>
    <row r="123" spans="1:12" ht="12.75">
      <c r="A123" s="218" t="s">
        <v>192</v>
      </c>
      <c r="B123" s="218"/>
      <c r="C123" s="1"/>
      <c r="D123" s="1"/>
      <c r="E123" s="1"/>
      <c r="G123" s="66"/>
      <c r="H123" s="67"/>
      <c r="I123" s="67"/>
      <c r="J123" s="67"/>
      <c r="K123" s="67"/>
      <c r="L123" s="67"/>
    </row>
    <row r="124" spans="1:18" s="7" customFormat="1" ht="12.75">
      <c r="A124" s="68" t="s">
        <v>193</v>
      </c>
      <c r="B124" s="68"/>
      <c r="C124" s="1"/>
      <c r="D124" s="1"/>
      <c r="E124" s="1"/>
      <c r="F124" s="3"/>
      <c r="G124" s="3"/>
      <c r="N124" s="3"/>
      <c r="O124" s="3"/>
      <c r="P124" s="3"/>
      <c r="Q124" s="3"/>
      <c r="R124" s="3"/>
    </row>
    <row r="125" spans="1:18" s="7" customFormat="1" ht="12.75">
      <c r="A125" s="1"/>
      <c r="B125" s="1"/>
      <c r="C125" s="1"/>
      <c r="D125" s="1"/>
      <c r="E125" s="1"/>
      <c r="F125" s="3"/>
      <c r="G125" s="66"/>
      <c r="H125" s="67"/>
      <c r="I125" s="67"/>
      <c r="J125" s="67"/>
      <c r="K125" s="67"/>
      <c r="L125" s="67"/>
      <c r="N125" s="3"/>
      <c r="O125" s="3"/>
      <c r="P125" s="3"/>
      <c r="Q125" s="3"/>
      <c r="R125" s="3"/>
    </row>
    <row r="126" spans="1:18" s="7" customFormat="1" ht="12.75">
      <c r="A126" s="1"/>
      <c r="B126" s="1"/>
      <c r="C126" s="1"/>
      <c r="D126" s="1"/>
      <c r="E126" s="1"/>
      <c r="F126" s="3"/>
      <c r="G126" s="3"/>
      <c r="N126" s="3"/>
      <c r="O126" s="3"/>
      <c r="P126" s="3"/>
      <c r="Q126" s="3"/>
      <c r="R126" s="3"/>
    </row>
    <row r="127" spans="1:18" s="7" customFormat="1" ht="12.75">
      <c r="A127" s="1"/>
      <c r="B127" s="1"/>
      <c r="C127" s="1"/>
      <c r="D127" s="1"/>
      <c r="E127" s="1"/>
      <c r="F127" s="3"/>
      <c r="G127" s="3"/>
      <c r="N127" s="3"/>
      <c r="O127" s="3"/>
      <c r="P127" s="3"/>
      <c r="Q127" s="3"/>
      <c r="R127" s="3"/>
    </row>
  </sheetData>
  <sheetProtection/>
  <mergeCells count="25">
    <mergeCell ref="B5:M5"/>
    <mergeCell ref="B7:M7"/>
    <mergeCell ref="B8:M8"/>
    <mergeCell ref="B1:M1"/>
    <mergeCell ref="B2:M2"/>
    <mergeCell ref="B3:M3"/>
    <mergeCell ref="B4:M4"/>
    <mergeCell ref="A123:B123"/>
    <mergeCell ref="I16:I19"/>
    <mergeCell ref="E15:M15"/>
    <mergeCell ref="A16:A19"/>
    <mergeCell ref="B16:B19"/>
    <mergeCell ref="C16:E19"/>
    <mergeCell ref="F16:F19"/>
    <mergeCell ref="G16:G19"/>
    <mergeCell ref="H16:H19"/>
    <mergeCell ref="M16:M19"/>
    <mergeCell ref="J16:J19"/>
    <mergeCell ref="B9:M9"/>
    <mergeCell ref="B10:M10"/>
    <mergeCell ref="B11:M11"/>
    <mergeCell ref="B12:M12"/>
    <mergeCell ref="A14:E14"/>
    <mergeCell ref="K16:K19"/>
    <mergeCell ref="L16:L19"/>
  </mergeCells>
  <printOptions/>
  <pageMargins left="0.6299212598425197" right="0.4330708661417323" top="0.53" bottom="0.56" header="0.5118110236220472" footer="0.5118110236220472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8"/>
  <sheetViews>
    <sheetView view="pageBreakPreview" zoomScaleSheetLayoutView="10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4" sqref="E4:V4"/>
    </sheetView>
  </sheetViews>
  <sheetFormatPr defaultColWidth="9.00390625" defaultRowHeight="12.75"/>
  <cols>
    <col min="1" max="1" width="33.875" style="70" customWidth="1"/>
    <col min="2" max="2" width="5.125" style="70" customWidth="1"/>
    <col min="3" max="3" width="5.00390625" style="70" customWidth="1"/>
    <col min="4" max="4" width="3.75390625" style="70" customWidth="1"/>
    <col min="5" max="5" width="9.625" style="70" customWidth="1"/>
    <col min="6" max="6" width="4.75390625" style="70" customWidth="1"/>
    <col min="7" max="7" width="12.625" style="70" hidden="1" customWidth="1"/>
    <col min="8" max="8" width="10.875" style="70" hidden="1" customWidth="1"/>
    <col min="9" max="9" width="10.375" style="70" hidden="1" customWidth="1"/>
    <col min="10" max="10" width="12.25390625" style="77" hidden="1" customWidth="1"/>
    <col min="11" max="11" width="11.625" style="81" hidden="1" customWidth="1"/>
    <col min="12" max="12" width="11.625" style="77" hidden="1" customWidth="1"/>
    <col min="13" max="13" width="11.625" style="81" hidden="1" customWidth="1"/>
    <col min="14" max="14" width="11.00390625" style="82" hidden="1" customWidth="1"/>
    <col min="15" max="21" width="11.00390625" style="83" hidden="1" customWidth="1"/>
    <col min="22" max="22" width="23.75390625" style="81" customWidth="1"/>
    <col min="23" max="16384" width="9.125" style="70" customWidth="1"/>
  </cols>
  <sheetData>
    <row r="1" spans="1:22" ht="12.75">
      <c r="A1" s="69"/>
      <c r="B1" s="69"/>
      <c r="C1" s="69"/>
      <c r="D1" s="69"/>
      <c r="E1" s="229" t="s">
        <v>194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2" ht="12.75">
      <c r="A2" s="69"/>
      <c r="B2" s="69"/>
      <c r="C2" s="69"/>
      <c r="D2" s="69"/>
      <c r="E2" s="229" t="s">
        <v>195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2" ht="12.75">
      <c r="A3" s="69"/>
      <c r="B3" s="69"/>
      <c r="C3" s="69"/>
      <c r="D3" s="69"/>
      <c r="E3" s="229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ht="28.5" customHeight="1">
      <c r="A4" s="71"/>
      <c r="B4" s="71"/>
      <c r="C4" s="71"/>
      <c r="D4" s="71"/>
      <c r="E4" s="230" t="s">
        <v>523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</row>
    <row r="5" spans="1:22" ht="12.75">
      <c r="A5" s="71"/>
      <c r="B5" s="71"/>
      <c r="C5" s="71"/>
      <c r="D5" s="71"/>
      <c r="E5" s="12"/>
      <c r="F5" s="12"/>
      <c r="G5" s="12" t="s">
        <v>196</v>
      </c>
      <c r="H5" s="12"/>
      <c r="I5" s="12"/>
      <c r="J5" s="72"/>
      <c r="K5" s="73"/>
      <c r="L5" s="72"/>
      <c r="M5" s="73"/>
      <c r="N5" s="74"/>
      <c r="O5" s="75"/>
      <c r="P5" s="75"/>
      <c r="Q5" s="75"/>
      <c r="R5" s="75"/>
      <c r="S5" s="75"/>
      <c r="T5" s="75"/>
      <c r="U5" s="75"/>
      <c r="V5" s="76"/>
    </row>
    <row r="6" spans="1:22" ht="12.75">
      <c r="A6" s="71"/>
      <c r="B6" s="71"/>
      <c r="C6" s="71"/>
      <c r="D6" s="71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</row>
    <row r="7" spans="1:22" ht="12.75">
      <c r="A7" s="71"/>
      <c r="B7" s="71"/>
      <c r="C7" s="71"/>
      <c r="D7" s="71"/>
      <c r="E7" s="229" t="s">
        <v>197</v>
      </c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</row>
    <row r="8" spans="1:22" ht="12.75">
      <c r="A8" s="71"/>
      <c r="B8" s="71"/>
      <c r="C8" s="71"/>
      <c r="D8" s="71"/>
      <c r="E8" s="229" t="s">
        <v>195</v>
      </c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</row>
    <row r="9" spans="1:22" ht="12.75">
      <c r="A9" s="71"/>
      <c r="B9" s="71"/>
      <c r="C9" s="71"/>
      <c r="D9" s="71"/>
      <c r="E9" s="229" t="s">
        <v>2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</row>
    <row r="10" spans="1:22" ht="18.75" customHeight="1">
      <c r="A10" s="71"/>
      <c r="B10" s="71"/>
      <c r="C10" s="71"/>
      <c r="D10" s="71"/>
      <c r="E10" s="231" t="s">
        <v>3</v>
      </c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</row>
    <row r="11" spans="1:22" ht="18.75" customHeight="1">
      <c r="A11" s="71"/>
      <c r="B11" s="71"/>
      <c r="C11" s="71"/>
      <c r="D11" s="71"/>
      <c r="E11" s="71"/>
      <c r="F11" s="71"/>
      <c r="G11" s="71"/>
      <c r="K11" s="232" t="s">
        <v>6</v>
      </c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</row>
    <row r="12" spans="1:22" ht="14.25" customHeight="1">
      <c r="A12" s="233" t="s">
        <v>198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</row>
    <row r="13" spans="1:22" ht="14.2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80"/>
      <c r="P13" s="80"/>
      <c r="Q13" s="80"/>
      <c r="R13" s="80"/>
      <c r="S13" s="80"/>
      <c r="T13" s="80"/>
      <c r="U13" s="80"/>
      <c r="V13" s="78"/>
    </row>
    <row r="14" spans="1:22" ht="12.75">
      <c r="A14" s="233" t="s">
        <v>199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</row>
    <row r="15" spans="1:22" ht="24" customHeight="1">
      <c r="A15" s="235" t="s">
        <v>200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</row>
    <row r="16" spans="1:7" ht="12.75">
      <c r="A16" s="233"/>
      <c r="B16" s="233"/>
      <c r="C16" s="233"/>
      <c r="D16" s="233"/>
      <c r="E16" s="233"/>
      <c r="F16" s="233"/>
      <c r="G16" s="233"/>
    </row>
    <row r="17" spans="1:22" ht="12.75">
      <c r="A17" s="84"/>
      <c r="B17" s="85"/>
      <c r="C17" s="85"/>
      <c r="D17" s="85"/>
      <c r="E17" s="85"/>
      <c r="F17" s="86"/>
      <c r="G17" s="236" t="s">
        <v>8</v>
      </c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</row>
    <row r="18" spans="1:22" ht="89.25">
      <c r="A18" s="87" t="s">
        <v>201</v>
      </c>
      <c r="B18" s="88" t="s">
        <v>202</v>
      </c>
      <c r="C18" s="89" t="s">
        <v>203</v>
      </c>
      <c r="D18" s="89" t="s">
        <v>204</v>
      </c>
      <c r="E18" s="89" t="s">
        <v>205</v>
      </c>
      <c r="F18" s="89" t="s">
        <v>206</v>
      </c>
      <c r="G18" s="90" t="s">
        <v>11</v>
      </c>
      <c r="H18" s="91" t="s">
        <v>207</v>
      </c>
      <c r="I18" s="91" t="s">
        <v>208</v>
      </c>
      <c r="J18" s="91" t="s">
        <v>207</v>
      </c>
      <c r="K18" s="92" t="s">
        <v>208</v>
      </c>
      <c r="L18" s="91" t="s">
        <v>207</v>
      </c>
      <c r="M18" s="92" t="s">
        <v>208</v>
      </c>
      <c r="N18" s="93" t="s">
        <v>207</v>
      </c>
      <c r="O18" s="94" t="s">
        <v>208</v>
      </c>
      <c r="P18" s="94" t="s">
        <v>207</v>
      </c>
      <c r="Q18" s="94" t="s">
        <v>208</v>
      </c>
      <c r="R18" s="93" t="s">
        <v>207</v>
      </c>
      <c r="S18" s="94" t="s">
        <v>208</v>
      </c>
      <c r="T18" s="93" t="s">
        <v>207</v>
      </c>
      <c r="U18" s="94" t="s">
        <v>208</v>
      </c>
      <c r="V18" s="95" t="s">
        <v>11</v>
      </c>
    </row>
    <row r="19" spans="1:22" ht="12.75">
      <c r="A19" s="87">
        <v>1</v>
      </c>
      <c r="B19" s="89">
        <v>2</v>
      </c>
      <c r="C19" s="89">
        <v>3</v>
      </c>
      <c r="D19" s="89">
        <v>4</v>
      </c>
      <c r="E19" s="89">
        <v>5</v>
      </c>
      <c r="F19" s="90">
        <v>6</v>
      </c>
      <c r="G19" s="88">
        <v>7</v>
      </c>
      <c r="H19" s="96"/>
      <c r="I19" s="96"/>
      <c r="J19" s="96"/>
      <c r="K19" s="97"/>
      <c r="L19" s="96"/>
      <c r="M19" s="97"/>
      <c r="N19" s="98"/>
      <c r="O19" s="99"/>
      <c r="P19" s="99"/>
      <c r="Q19" s="99"/>
      <c r="R19" s="99"/>
      <c r="S19" s="99"/>
      <c r="T19" s="99"/>
      <c r="U19" s="99"/>
      <c r="V19" s="97"/>
    </row>
    <row r="20" spans="1:22" ht="12.75">
      <c r="A20" s="87"/>
      <c r="B20" s="89"/>
      <c r="C20" s="89"/>
      <c r="D20" s="89"/>
      <c r="E20" s="89"/>
      <c r="F20" s="90"/>
      <c r="G20" s="88"/>
      <c r="H20" s="96"/>
      <c r="I20" s="96"/>
      <c r="J20" s="96"/>
      <c r="K20" s="97"/>
      <c r="L20" s="96"/>
      <c r="M20" s="97"/>
      <c r="N20" s="98"/>
      <c r="O20" s="99"/>
      <c r="P20" s="99"/>
      <c r="Q20" s="99"/>
      <c r="R20" s="99"/>
      <c r="S20" s="99"/>
      <c r="T20" s="99"/>
      <c r="U20" s="99"/>
      <c r="V20" s="97"/>
    </row>
    <row r="21" spans="1:23" ht="12.75">
      <c r="A21" s="100" t="s">
        <v>209</v>
      </c>
      <c r="B21" s="100"/>
      <c r="C21" s="100"/>
      <c r="D21" s="100"/>
      <c r="E21" s="100"/>
      <c r="F21" s="100"/>
      <c r="G21" s="39">
        <f aca="true" t="shared" si="0" ref="G21:V21">G326</f>
        <v>1526047.825</v>
      </c>
      <c r="H21" s="39">
        <f t="shared" si="0"/>
        <v>49416.409999999996</v>
      </c>
      <c r="I21" s="39">
        <f t="shared" si="0"/>
        <v>0</v>
      </c>
      <c r="J21" s="39">
        <f t="shared" si="0"/>
        <v>43229.68902</v>
      </c>
      <c r="K21" s="101">
        <f t="shared" si="0"/>
        <v>1000</v>
      </c>
      <c r="L21" s="39">
        <f t="shared" si="0"/>
        <v>-34995.061559999995</v>
      </c>
      <c r="M21" s="101">
        <f t="shared" si="0"/>
        <v>0</v>
      </c>
      <c r="N21" s="102">
        <f t="shared" si="0"/>
        <v>49824.366</v>
      </c>
      <c r="O21" s="103">
        <f t="shared" si="0"/>
        <v>0</v>
      </c>
      <c r="P21" s="103">
        <f t="shared" si="0"/>
        <v>11081.58915</v>
      </c>
      <c r="Q21" s="103">
        <f t="shared" si="0"/>
        <v>0</v>
      </c>
      <c r="R21" s="103">
        <f t="shared" si="0"/>
        <v>9296.706</v>
      </c>
      <c r="S21" s="103">
        <f t="shared" si="0"/>
        <v>5.684341886080802E-14</v>
      </c>
      <c r="T21" s="103">
        <f t="shared" si="0"/>
        <v>-1367.107</v>
      </c>
      <c r="U21" s="103">
        <f t="shared" si="0"/>
        <v>120.19399999999996</v>
      </c>
      <c r="V21" s="101">
        <f t="shared" si="0"/>
        <v>1653534.4166099997</v>
      </c>
      <c r="W21" s="104"/>
    </row>
    <row r="22" spans="1:23" ht="12.75">
      <c r="A22" s="105" t="s">
        <v>210</v>
      </c>
      <c r="B22" s="106"/>
      <c r="C22" s="106" t="s">
        <v>211</v>
      </c>
      <c r="D22" s="106"/>
      <c r="E22" s="106"/>
      <c r="F22" s="106"/>
      <c r="G22" s="39">
        <f aca="true" t="shared" si="1" ref="G22:L22">G23+G27+G30+G33+G39</f>
        <v>34714.833999999995</v>
      </c>
      <c r="H22" s="39">
        <f t="shared" si="1"/>
        <v>1588.09</v>
      </c>
      <c r="I22" s="39">
        <f t="shared" si="1"/>
        <v>0</v>
      </c>
      <c r="J22" s="39">
        <f t="shared" si="1"/>
        <v>191.304</v>
      </c>
      <c r="K22" s="101">
        <f t="shared" si="1"/>
        <v>14999.9</v>
      </c>
      <c r="L22" s="39">
        <f t="shared" si="1"/>
        <v>2241.5205</v>
      </c>
      <c r="M22" s="101">
        <f>M23+M27+M30+M33+M39+M36</f>
        <v>750</v>
      </c>
      <c r="N22" s="39">
        <f aca="true" t="shared" si="2" ref="N22:T22">N23+N27+N30+N33+N39</f>
        <v>4950</v>
      </c>
      <c r="O22" s="39">
        <f t="shared" si="2"/>
        <v>0</v>
      </c>
      <c r="P22" s="101">
        <f t="shared" si="2"/>
        <v>1100</v>
      </c>
      <c r="Q22" s="101">
        <f t="shared" si="2"/>
        <v>-115</v>
      </c>
      <c r="R22" s="39">
        <f t="shared" si="2"/>
        <v>0</v>
      </c>
      <c r="S22" s="39">
        <f t="shared" si="2"/>
        <v>-320</v>
      </c>
      <c r="T22" s="39">
        <f t="shared" si="2"/>
        <v>58.8</v>
      </c>
      <c r="U22" s="39"/>
      <c r="V22" s="101">
        <f>V23+V27+V30+V33+V39+V36</f>
        <v>60024.254499999995</v>
      </c>
      <c r="W22" s="104"/>
    </row>
    <row r="23" spans="1:23" ht="51">
      <c r="A23" s="105" t="s">
        <v>212</v>
      </c>
      <c r="B23" s="106"/>
      <c r="C23" s="106" t="s">
        <v>213</v>
      </c>
      <c r="D23" s="106" t="s">
        <v>214</v>
      </c>
      <c r="E23" s="106"/>
      <c r="F23" s="106"/>
      <c r="G23" s="39">
        <f aca="true" t="shared" si="3" ref="G23:V23">G24</f>
        <v>1297.1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101">
        <f t="shared" si="3"/>
        <v>0</v>
      </c>
      <c r="L23" s="39">
        <f t="shared" si="3"/>
        <v>0</v>
      </c>
      <c r="M23" s="101">
        <f t="shared" si="3"/>
        <v>0</v>
      </c>
      <c r="N23" s="39">
        <f t="shared" si="3"/>
        <v>0</v>
      </c>
      <c r="O23" s="39">
        <f t="shared" si="3"/>
        <v>0</v>
      </c>
      <c r="P23" s="101">
        <f t="shared" si="3"/>
        <v>0</v>
      </c>
      <c r="Q23" s="101">
        <f t="shared" si="3"/>
        <v>0</v>
      </c>
      <c r="R23" s="39">
        <f t="shared" si="3"/>
        <v>0</v>
      </c>
      <c r="S23" s="39">
        <f t="shared" si="3"/>
        <v>0</v>
      </c>
      <c r="T23" s="39">
        <f t="shared" si="3"/>
        <v>0</v>
      </c>
      <c r="U23" s="39"/>
      <c r="V23" s="101">
        <f t="shared" si="3"/>
        <v>1297.1</v>
      </c>
      <c r="W23" s="104"/>
    </row>
    <row r="24" spans="1:23" ht="63.75">
      <c r="A24" s="107" t="s">
        <v>215</v>
      </c>
      <c r="B24" s="108" t="s">
        <v>216</v>
      </c>
      <c r="C24" s="108" t="s">
        <v>211</v>
      </c>
      <c r="D24" s="108" t="s">
        <v>217</v>
      </c>
      <c r="E24" s="108" t="s">
        <v>218</v>
      </c>
      <c r="F24" s="108"/>
      <c r="G24" s="109">
        <f aca="true" t="shared" si="4" ref="G24:M25">G25</f>
        <v>1297.1</v>
      </c>
      <c r="H24" s="109">
        <f t="shared" si="4"/>
        <v>0</v>
      </c>
      <c r="I24" s="109">
        <f t="shared" si="4"/>
        <v>0</v>
      </c>
      <c r="J24" s="109">
        <f t="shared" si="4"/>
        <v>0</v>
      </c>
      <c r="K24" s="110">
        <f t="shared" si="4"/>
        <v>0</v>
      </c>
      <c r="L24" s="109">
        <f t="shared" si="4"/>
        <v>0</v>
      </c>
      <c r="M24" s="110">
        <f t="shared" si="4"/>
        <v>0</v>
      </c>
      <c r="N24" s="111"/>
      <c r="O24" s="112"/>
      <c r="P24" s="112"/>
      <c r="Q24" s="112"/>
      <c r="R24" s="112"/>
      <c r="S24" s="112"/>
      <c r="T24" s="112"/>
      <c r="U24" s="112"/>
      <c r="V24" s="110">
        <f>V25</f>
        <v>1297.1</v>
      </c>
      <c r="W24" s="104"/>
    </row>
    <row r="25" spans="1:23" ht="12.75">
      <c r="A25" s="107" t="s">
        <v>219</v>
      </c>
      <c r="B25" s="108" t="s">
        <v>216</v>
      </c>
      <c r="C25" s="108" t="s">
        <v>211</v>
      </c>
      <c r="D25" s="108" t="s">
        <v>217</v>
      </c>
      <c r="E25" s="108" t="s">
        <v>220</v>
      </c>
      <c r="F25" s="108"/>
      <c r="G25" s="109">
        <f t="shared" si="4"/>
        <v>1297.1</v>
      </c>
      <c r="H25" s="109">
        <f t="shared" si="4"/>
        <v>0</v>
      </c>
      <c r="I25" s="109">
        <f t="shared" si="4"/>
        <v>0</v>
      </c>
      <c r="J25" s="109">
        <f t="shared" si="4"/>
        <v>0</v>
      </c>
      <c r="K25" s="110">
        <f t="shared" si="4"/>
        <v>0</v>
      </c>
      <c r="L25" s="109">
        <f t="shared" si="4"/>
        <v>0</v>
      </c>
      <c r="M25" s="110">
        <f t="shared" si="4"/>
        <v>0</v>
      </c>
      <c r="N25" s="111"/>
      <c r="O25" s="112"/>
      <c r="P25" s="112"/>
      <c r="Q25" s="112"/>
      <c r="R25" s="112"/>
      <c r="S25" s="112"/>
      <c r="T25" s="112"/>
      <c r="U25" s="112"/>
      <c r="V25" s="110">
        <f>V26</f>
        <v>1297.1</v>
      </c>
      <c r="W25" s="104"/>
    </row>
    <row r="26" spans="1:23" ht="25.5">
      <c r="A26" s="107" t="s">
        <v>221</v>
      </c>
      <c r="B26" s="108" t="s">
        <v>216</v>
      </c>
      <c r="C26" s="108" t="s">
        <v>211</v>
      </c>
      <c r="D26" s="108" t="s">
        <v>217</v>
      </c>
      <c r="E26" s="108" t="s">
        <v>222</v>
      </c>
      <c r="F26" s="108">
        <v>500</v>
      </c>
      <c r="G26" s="109">
        <v>1297.1</v>
      </c>
      <c r="H26" s="113"/>
      <c r="I26" s="113"/>
      <c r="J26" s="113"/>
      <c r="K26" s="114"/>
      <c r="L26" s="113"/>
      <c r="M26" s="114"/>
      <c r="N26" s="115"/>
      <c r="O26" s="116"/>
      <c r="P26" s="116"/>
      <c r="Q26" s="116"/>
      <c r="R26" s="116"/>
      <c r="S26" s="116"/>
      <c r="T26" s="116"/>
      <c r="U26" s="116"/>
      <c r="V26" s="114">
        <f>G26+H26+I26</f>
        <v>1297.1</v>
      </c>
      <c r="W26" s="104"/>
    </row>
    <row r="27" spans="1:23" ht="102">
      <c r="A27" s="117" t="s">
        <v>223</v>
      </c>
      <c r="B27" s="106"/>
      <c r="C27" s="106" t="s">
        <v>211</v>
      </c>
      <c r="D27" s="106" t="s">
        <v>224</v>
      </c>
      <c r="E27" s="106"/>
      <c r="F27" s="106"/>
      <c r="G27" s="39">
        <f aca="true" t="shared" si="5" ref="G27:V28">G28</f>
        <v>28689.1</v>
      </c>
      <c r="H27" s="39">
        <f t="shared" si="5"/>
        <v>1443.3</v>
      </c>
      <c r="I27" s="39">
        <f t="shared" si="5"/>
        <v>0</v>
      </c>
      <c r="J27" s="39">
        <f t="shared" si="5"/>
        <v>0</v>
      </c>
      <c r="K27" s="101">
        <f t="shared" si="5"/>
        <v>-250</v>
      </c>
      <c r="L27" s="39">
        <f t="shared" si="5"/>
        <v>1535</v>
      </c>
      <c r="M27" s="101">
        <f t="shared" si="5"/>
        <v>0</v>
      </c>
      <c r="N27" s="39">
        <f t="shared" si="5"/>
        <v>0</v>
      </c>
      <c r="O27" s="39">
        <f t="shared" si="5"/>
        <v>0</v>
      </c>
      <c r="P27" s="101">
        <f t="shared" si="5"/>
        <v>0</v>
      </c>
      <c r="Q27" s="101">
        <f t="shared" si="5"/>
        <v>0</v>
      </c>
      <c r="R27" s="39">
        <f t="shared" si="5"/>
        <v>0</v>
      </c>
      <c r="S27" s="39">
        <f t="shared" si="5"/>
        <v>-100</v>
      </c>
      <c r="T27" s="39">
        <f t="shared" si="5"/>
        <v>0</v>
      </c>
      <c r="U27" s="39">
        <f t="shared" si="5"/>
        <v>-120.194</v>
      </c>
      <c r="V27" s="101">
        <f t="shared" si="5"/>
        <v>31197.206</v>
      </c>
      <c r="W27" s="104"/>
    </row>
    <row r="28" spans="1:23" ht="12.75">
      <c r="A28" s="107" t="s">
        <v>225</v>
      </c>
      <c r="B28" s="108" t="s">
        <v>216</v>
      </c>
      <c r="C28" s="108" t="s">
        <v>211</v>
      </c>
      <c r="D28" s="108" t="s">
        <v>224</v>
      </c>
      <c r="E28" s="108" t="s">
        <v>226</v>
      </c>
      <c r="F28" s="108"/>
      <c r="G28" s="109">
        <f aca="true" t="shared" si="6" ref="G28:M28">G29</f>
        <v>28689.1</v>
      </c>
      <c r="H28" s="109">
        <f t="shared" si="6"/>
        <v>1443.3</v>
      </c>
      <c r="I28" s="109">
        <f t="shared" si="6"/>
        <v>0</v>
      </c>
      <c r="J28" s="109">
        <f t="shared" si="6"/>
        <v>0</v>
      </c>
      <c r="K28" s="110">
        <f t="shared" si="6"/>
        <v>-250</v>
      </c>
      <c r="L28" s="109">
        <f t="shared" si="6"/>
        <v>1535</v>
      </c>
      <c r="M28" s="110">
        <f t="shared" si="6"/>
        <v>0</v>
      </c>
      <c r="N28" s="111"/>
      <c r="O28" s="112"/>
      <c r="P28" s="112"/>
      <c r="Q28" s="112"/>
      <c r="R28" s="112"/>
      <c r="S28" s="112">
        <f>S29</f>
        <v>-100</v>
      </c>
      <c r="T28" s="112">
        <f t="shared" si="5"/>
        <v>0</v>
      </c>
      <c r="U28" s="112">
        <f t="shared" si="5"/>
        <v>-120.194</v>
      </c>
      <c r="V28" s="110">
        <f>V29</f>
        <v>31197.206</v>
      </c>
      <c r="W28" s="104"/>
    </row>
    <row r="29" spans="1:23" ht="38.25">
      <c r="A29" s="107" t="s">
        <v>227</v>
      </c>
      <c r="B29" s="108" t="s">
        <v>216</v>
      </c>
      <c r="C29" s="108" t="s">
        <v>211</v>
      </c>
      <c r="D29" s="108" t="s">
        <v>224</v>
      </c>
      <c r="E29" s="108" t="s">
        <v>228</v>
      </c>
      <c r="F29" s="108" t="s">
        <v>229</v>
      </c>
      <c r="G29" s="109">
        <f>28689.1+750-750</f>
        <v>28689.1</v>
      </c>
      <c r="H29" s="113">
        <f>250+1193.3</f>
        <v>1443.3</v>
      </c>
      <c r="I29" s="113"/>
      <c r="J29" s="113"/>
      <c r="K29" s="114">
        <v>-250</v>
      </c>
      <c r="L29" s="113">
        <v>1535</v>
      </c>
      <c r="M29" s="114"/>
      <c r="N29" s="115"/>
      <c r="O29" s="116"/>
      <c r="P29" s="116"/>
      <c r="Q29" s="116"/>
      <c r="R29" s="116"/>
      <c r="S29" s="116">
        <v>-100</v>
      </c>
      <c r="T29" s="116"/>
      <c r="U29" s="116">
        <v>-120.194</v>
      </c>
      <c r="V29" s="114">
        <f>G29+H29+I29+J29+K29+L29+S29+U29</f>
        <v>31197.206</v>
      </c>
      <c r="W29" s="104"/>
    </row>
    <row r="30" spans="1:23" ht="63.75">
      <c r="A30" s="118" t="s">
        <v>230</v>
      </c>
      <c r="B30" s="108"/>
      <c r="C30" s="106" t="s">
        <v>211</v>
      </c>
      <c r="D30" s="106" t="s">
        <v>231</v>
      </c>
      <c r="E30" s="108"/>
      <c r="F30" s="108"/>
      <c r="G30" s="119">
        <f aca="true" t="shared" si="7" ref="G30:V30">G31</f>
        <v>1112.5</v>
      </c>
      <c r="H30" s="119">
        <f t="shared" si="7"/>
        <v>0</v>
      </c>
      <c r="I30" s="119">
        <f t="shared" si="7"/>
        <v>0</v>
      </c>
      <c r="J30" s="119">
        <f t="shared" si="7"/>
        <v>0</v>
      </c>
      <c r="K30" s="120">
        <f t="shared" si="7"/>
        <v>0</v>
      </c>
      <c r="L30" s="119">
        <f t="shared" si="7"/>
        <v>0</v>
      </c>
      <c r="M30" s="120">
        <f t="shared" si="7"/>
        <v>0</v>
      </c>
      <c r="N30" s="119">
        <f t="shared" si="7"/>
        <v>0</v>
      </c>
      <c r="O30" s="119">
        <f t="shared" si="7"/>
        <v>0</v>
      </c>
      <c r="P30" s="120">
        <f t="shared" si="7"/>
        <v>0</v>
      </c>
      <c r="Q30" s="120">
        <f t="shared" si="7"/>
        <v>0</v>
      </c>
      <c r="R30" s="119">
        <f t="shared" si="7"/>
        <v>0</v>
      </c>
      <c r="S30" s="119">
        <f t="shared" si="7"/>
        <v>0</v>
      </c>
      <c r="T30" s="119">
        <f t="shared" si="7"/>
        <v>0</v>
      </c>
      <c r="U30" s="119"/>
      <c r="V30" s="120">
        <f t="shared" si="7"/>
        <v>1112.5</v>
      </c>
      <c r="W30" s="104"/>
    </row>
    <row r="31" spans="1:23" ht="38.25">
      <c r="A31" s="118" t="s">
        <v>232</v>
      </c>
      <c r="B31" s="108" t="s">
        <v>216</v>
      </c>
      <c r="C31" s="108" t="s">
        <v>211</v>
      </c>
      <c r="D31" s="108" t="s">
        <v>231</v>
      </c>
      <c r="E31" s="108" t="s">
        <v>233</v>
      </c>
      <c r="F31" s="108"/>
      <c r="G31" s="109">
        <f aca="true" t="shared" si="8" ref="G31:M31">G32</f>
        <v>1112.5</v>
      </c>
      <c r="H31" s="109">
        <f t="shared" si="8"/>
        <v>0</v>
      </c>
      <c r="I31" s="109">
        <f t="shared" si="8"/>
        <v>0</v>
      </c>
      <c r="J31" s="109">
        <f t="shared" si="8"/>
        <v>0</v>
      </c>
      <c r="K31" s="110">
        <f t="shared" si="8"/>
        <v>0</v>
      </c>
      <c r="L31" s="109">
        <f t="shared" si="8"/>
        <v>0</v>
      </c>
      <c r="M31" s="110">
        <f t="shared" si="8"/>
        <v>0</v>
      </c>
      <c r="N31" s="111"/>
      <c r="O31" s="112"/>
      <c r="P31" s="112"/>
      <c r="Q31" s="112"/>
      <c r="R31" s="112"/>
      <c r="S31" s="112"/>
      <c r="T31" s="112"/>
      <c r="U31" s="112"/>
      <c r="V31" s="110">
        <f>V32</f>
        <v>1112.5</v>
      </c>
      <c r="W31" s="104"/>
    </row>
    <row r="32" spans="1:23" ht="25.5">
      <c r="A32" s="107" t="s">
        <v>221</v>
      </c>
      <c r="B32" s="108" t="s">
        <v>216</v>
      </c>
      <c r="C32" s="108" t="s">
        <v>211</v>
      </c>
      <c r="D32" s="108" t="s">
        <v>231</v>
      </c>
      <c r="E32" s="108" t="s">
        <v>233</v>
      </c>
      <c r="F32" s="108" t="s">
        <v>229</v>
      </c>
      <c r="G32" s="109">
        <v>1112.5</v>
      </c>
      <c r="H32" s="113"/>
      <c r="I32" s="113"/>
      <c r="J32" s="113"/>
      <c r="K32" s="114"/>
      <c r="L32" s="113"/>
      <c r="M32" s="114"/>
      <c r="N32" s="115"/>
      <c r="O32" s="116"/>
      <c r="P32" s="116"/>
      <c r="Q32" s="116"/>
      <c r="R32" s="116"/>
      <c r="S32" s="116"/>
      <c r="T32" s="116"/>
      <c r="U32" s="116"/>
      <c r="V32" s="114">
        <f>G32+H32+I32</f>
        <v>1112.5</v>
      </c>
      <c r="W32" s="104"/>
    </row>
    <row r="33" spans="1:23" ht="12.75">
      <c r="A33" s="105" t="s">
        <v>234</v>
      </c>
      <c r="B33" s="108"/>
      <c r="C33" s="106" t="s">
        <v>211</v>
      </c>
      <c r="D33" s="106" t="s">
        <v>235</v>
      </c>
      <c r="E33" s="106"/>
      <c r="F33" s="106"/>
      <c r="G33" s="39">
        <f aca="true" t="shared" si="9" ref="G33:V34">G34</f>
        <v>500</v>
      </c>
      <c r="H33" s="39">
        <f t="shared" si="9"/>
        <v>0</v>
      </c>
      <c r="I33" s="39">
        <f t="shared" si="9"/>
        <v>0</v>
      </c>
      <c r="J33" s="39">
        <f t="shared" si="9"/>
        <v>0</v>
      </c>
      <c r="K33" s="101">
        <f t="shared" si="9"/>
        <v>0</v>
      </c>
      <c r="L33" s="39">
        <f t="shared" si="9"/>
        <v>0</v>
      </c>
      <c r="M33" s="101">
        <f t="shared" si="9"/>
        <v>0</v>
      </c>
      <c r="N33" s="39">
        <f t="shared" si="9"/>
        <v>0</v>
      </c>
      <c r="O33" s="39">
        <f t="shared" si="9"/>
        <v>0</v>
      </c>
      <c r="P33" s="101">
        <f t="shared" si="9"/>
        <v>0</v>
      </c>
      <c r="Q33" s="101">
        <f t="shared" si="9"/>
        <v>-115</v>
      </c>
      <c r="R33" s="39">
        <f t="shared" si="9"/>
        <v>0</v>
      </c>
      <c r="S33" s="103">
        <f t="shared" si="9"/>
        <v>-220</v>
      </c>
      <c r="T33" s="103">
        <f t="shared" si="9"/>
        <v>0</v>
      </c>
      <c r="U33" s="103">
        <f t="shared" si="9"/>
        <v>-15</v>
      </c>
      <c r="V33" s="101">
        <f t="shared" si="9"/>
        <v>150</v>
      </c>
      <c r="W33" s="104"/>
    </row>
    <row r="34" spans="1:23" ht="25.5">
      <c r="A34" s="107" t="s">
        <v>236</v>
      </c>
      <c r="B34" s="108" t="s">
        <v>216</v>
      </c>
      <c r="C34" s="108" t="s">
        <v>211</v>
      </c>
      <c r="D34" s="108" t="s">
        <v>235</v>
      </c>
      <c r="E34" s="108" t="s">
        <v>237</v>
      </c>
      <c r="F34" s="108"/>
      <c r="G34" s="109">
        <f aca="true" t="shared" si="10" ref="G34:M34">G35</f>
        <v>500</v>
      </c>
      <c r="H34" s="109">
        <f t="shared" si="10"/>
        <v>0</v>
      </c>
      <c r="I34" s="109">
        <f t="shared" si="10"/>
        <v>0</v>
      </c>
      <c r="J34" s="109">
        <f t="shared" si="10"/>
        <v>0</v>
      </c>
      <c r="K34" s="110">
        <f t="shared" si="10"/>
        <v>0</v>
      </c>
      <c r="L34" s="109">
        <f t="shared" si="10"/>
        <v>0</v>
      </c>
      <c r="M34" s="110">
        <f t="shared" si="10"/>
        <v>0</v>
      </c>
      <c r="N34" s="111"/>
      <c r="O34" s="112"/>
      <c r="P34" s="112"/>
      <c r="Q34" s="112">
        <f>Q35</f>
        <v>-115</v>
      </c>
      <c r="R34" s="112"/>
      <c r="S34" s="112">
        <f>S35</f>
        <v>-220</v>
      </c>
      <c r="T34" s="112">
        <f t="shared" si="9"/>
        <v>0</v>
      </c>
      <c r="U34" s="112">
        <f t="shared" si="9"/>
        <v>-15</v>
      </c>
      <c r="V34" s="110">
        <f>V35</f>
        <v>150</v>
      </c>
      <c r="W34" s="104"/>
    </row>
    <row r="35" spans="1:23" ht="12.75">
      <c r="A35" s="107" t="s">
        <v>238</v>
      </c>
      <c r="B35" s="108" t="s">
        <v>216</v>
      </c>
      <c r="C35" s="108" t="s">
        <v>211</v>
      </c>
      <c r="D35" s="108" t="s">
        <v>235</v>
      </c>
      <c r="E35" s="108" t="s">
        <v>237</v>
      </c>
      <c r="F35" s="108" t="s">
        <v>239</v>
      </c>
      <c r="G35" s="109">
        <v>500</v>
      </c>
      <c r="H35" s="113"/>
      <c r="I35" s="113"/>
      <c r="J35" s="113"/>
      <c r="K35" s="114"/>
      <c r="L35" s="113"/>
      <c r="M35" s="114"/>
      <c r="N35" s="115"/>
      <c r="O35" s="116"/>
      <c r="P35" s="116"/>
      <c r="Q35" s="116">
        <v>-115</v>
      </c>
      <c r="R35" s="116"/>
      <c r="S35" s="116">
        <f>-10-200-4.40354-5.59646</f>
        <v>-220</v>
      </c>
      <c r="T35" s="116"/>
      <c r="U35" s="116">
        <v>-15</v>
      </c>
      <c r="V35" s="114">
        <f>G35+H35+I35+Q35+S35+U35</f>
        <v>150</v>
      </c>
      <c r="W35" s="104"/>
    </row>
    <row r="36" spans="1:23" s="127" customFormat="1" ht="38.25">
      <c r="A36" s="121" t="s">
        <v>240</v>
      </c>
      <c r="B36" s="106"/>
      <c r="C36" s="106" t="s">
        <v>211</v>
      </c>
      <c r="D36" s="106" t="s">
        <v>241</v>
      </c>
      <c r="E36" s="106"/>
      <c r="F36" s="106"/>
      <c r="G36" s="39"/>
      <c r="H36" s="122"/>
      <c r="I36" s="122"/>
      <c r="J36" s="122"/>
      <c r="K36" s="123"/>
      <c r="L36" s="122"/>
      <c r="M36" s="123">
        <f>M37</f>
        <v>750</v>
      </c>
      <c r="N36" s="124"/>
      <c r="O36" s="125"/>
      <c r="P36" s="125">
        <f>P37</f>
        <v>0</v>
      </c>
      <c r="Q36" s="125"/>
      <c r="R36" s="125"/>
      <c r="S36" s="125"/>
      <c r="T36" s="125"/>
      <c r="U36" s="125"/>
      <c r="V36" s="123">
        <f>V37</f>
        <v>750</v>
      </c>
      <c r="W36" s="126"/>
    </row>
    <row r="37" spans="1:23" ht="51">
      <c r="A37" s="128" t="s">
        <v>242</v>
      </c>
      <c r="B37" s="108" t="s">
        <v>216</v>
      </c>
      <c r="C37" s="108" t="s">
        <v>211</v>
      </c>
      <c r="D37" s="108" t="s">
        <v>241</v>
      </c>
      <c r="E37" s="108" t="s">
        <v>243</v>
      </c>
      <c r="F37" s="108"/>
      <c r="G37" s="109"/>
      <c r="H37" s="113"/>
      <c r="I37" s="113"/>
      <c r="J37" s="113"/>
      <c r="K37" s="114"/>
      <c r="L37" s="113"/>
      <c r="M37" s="114">
        <f>M38</f>
        <v>750</v>
      </c>
      <c r="N37" s="115"/>
      <c r="O37" s="116"/>
      <c r="P37" s="116"/>
      <c r="Q37" s="116"/>
      <c r="R37" s="116"/>
      <c r="S37" s="116"/>
      <c r="T37" s="116"/>
      <c r="U37" s="116"/>
      <c r="V37" s="114">
        <f>V38</f>
        <v>750</v>
      </c>
      <c r="W37" s="104"/>
    </row>
    <row r="38" spans="1:23" ht="25.5">
      <c r="A38" s="107" t="s">
        <v>221</v>
      </c>
      <c r="B38" s="108" t="s">
        <v>216</v>
      </c>
      <c r="C38" s="108" t="s">
        <v>211</v>
      </c>
      <c r="D38" s="108" t="s">
        <v>241</v>
      </c>
      <c r="E38" s="108" t="s">
        <v>243</v>
      </c>
      <c r="F38" s="108" t="s">
        <v>229</v>
      </c>
      <c r="G38" s="109"/>
      <c r="H38" s="113"/>
      <c r="I38" s="113"/>
      <c r="J38" s="113"/>
      <c r="K38" s="114"/>
      <c r="L38" s="113"/>
      <c r="M38" s="114">
        <v>750</v>
      </c>
      <c r="N38" s="115"/>
      <c r="O38" s="116"/>
      <c r="P38" s="116"/>
      <c r="Q38" s="116"/>
      <c r="R38" s="116"/>
      <c r="S38" s="116"/>
      <c r="T38" s="116"/>
      <c r="U38" s="116"/>
      <c r="V38" s="114">
        <f>M38</f>
        <v>750</v>
      </c>
      <c r="W38" s="104"/>
    </row>
    <row r="39" spans="1:23" ht="25.5">
      <c r="A39" s="105" t="s">
        <v>244</v>
      </c>
      <c r="B39" s="108"/>
      <c r="C39" s="106" t="s">
        <v>211</v>
      </c>
      <c r="D39" s="106" t="s">
        <v>245</v>
      </c>
      <c r="E39" s="106"/>
      <c r="F39" s="106"/>
      <c r="G39" s="129">
        <f aca="true" t="shared" si="11" ref="G39:M39">G50+G52+G54+G44+G40+G46+G42+G48</f>
        <v>3116.134</v>
      </c>
      <c r="H39" s="129">
        <f t="shared" si="11"/>
        <v>144.79</v>
      </c>
      <c r="I39" s="129">
        <f t="shared" si="11"/>
        <v>0</v>
      </c>
      <c r="J39" s="129">
        <f t="shared" si="11"/>
        <v>191.304</v>
      </c>
      <c r="K39" s="130">
        <f t="shared" si="11"/>
        <v>15249.9</v>
      </c>
      <c r="L39" s="129">
        <f t="shared" si="11"/>
        <v>706.5205</v>
      </c>
      <c r="M39" s="130">
        <f t="shared" si="11"/>
        <v>0</v>
      </c>
      <c r="N39" s="131">
        <f>N50+N52+N54+N44+N40+N46+N42+N48+N56</f>
        <v>4950</v>
      </c>
      <c r="O39" s="132">
        <f>O50+O52+O54+O44+O40+O46+O42+O48+O56</f>
        <v>0</v>
      </c>
      <c r="P39" s="132">
        <f>P40+P42+P44+P46+P48+P50+P52+P54+P56+P58</f>
        <v>1100</v>
      </c>
      <c r="Q39" s="132">
        <f>Q40+Q42+Q44+Q46+Q48+Q50+Q52+Q54+Q56+Q58</f>
        <v>0</v>
      </c>
      <c r="R39" s="132">
        <f>R40+R42+R44+R46+R48+R50+R52+R54+R56+R58</f>
        <v>0</v>
      </c>
      <c r="S39" s="132">
        <f>S40+S42+S44+S46+S48+S50+S52+S54+S56+S58</f>
        <v>0</v>
      </c>
      <c r="T39" s="132">
        <f>T40+T42+T44+T46+T48+T50+T52+T54+T56+T58</f>
        <v>58.8</v>
      </c>
      <c r="U39" s="132"/>
      <c r="V39" s="132">
        <f>V50+V52+V54+V44+V40+V46+V42+V48+V56+V58</f>
        <v>25517.4485</v>
      </c>
      <c r="W39" s="104"/>
    </row>
    <row r="40" spans="1:23" ht="38.25">
      <c r="A40" s="107" t="s">
        <v>227</v>
      </c>
      <c r="B40" s="108" t="s">
        <v>216</v>
      </c>
      <c r="C40" s="108" t="s">
        <v>211</v>
      </c>
      <c r="D40" s="108" t="s">
        <v>245</v>
      </c>
      <c r="E40" s="108" t="s">
        <v>246</v>
      </c>
      <c r="F40" s="106"/>
      <c r="G40" s="129">
        <f aca="true" t="shared" si="12" ref="G40:V40">G41</f>
        <v>0</v>
      </c>
      <c r="H40" s="129">
        <f t="shared" si="12"/>
        <v>144.79</v>
      </c>
      <c r="I40" s="129">
        <f t="shared" si="12"/>
        <v>0</v>
      </c>
      <c r="J40" s="129">
        <f t="shared" si="12"/>
        <v>0</v>
      </c>
      <c r="K40" s="130">
        <f t="shared" si="12"/>
        <v>0</v>
      </c>
      <c r="L40" s="129">
        <f t="shared" si="12"/>
        <v>0</v>
      </c>
      <c r="M40" s="130">
        <f t="shared" si="12"/>
        <v>0</v>
      </c>
      <c r="N40" s="129">
        <f t="shared" si="12"/>
        <v>0</v>
      </c>
      <c r="O40" s="129">
        <f t="shared" si="12"/>
        <v>0</v>
      </c>
      <c r="P40" s="130">
        <f t="shared" si="12"/>
        <v>0</v>
      </c>
      <c r="Q40" s="130">
        <f t="shared" si="12"/>
        <v>0</v>
      </c>
      <c r="R40" s="129">
        <f t="shared" si="12"/>
        <v>0</v>
      </c>
      <c r="S40" s="129">
        <f t="shared" si="12"/>
        <v>0</v>
      </c>
      <c r="T40" s="129">
        <f t="shared" si="12"/>
        <v>0</v>
      </c>
      <c r="U40" s="129"/>
      <c r="V40" s="130">
        <f t="shared" si="12"/>
        <v>144.79</v>
      </c>
      <c r="W40" s="104"/>
    </row>
    <row r="41" spans="1:23" ht="25.5">
      <c r="A41" s="107" t="s">
        <v>221</v>
      </c>
      <c r="B41" s="108" t="s">
        <v>216</v>
      </c>
      <c r="C41" s="108" t="s">
        <v>211</v>
      </c>
      <c r="D41" s="108" t="s">
        <v>245</v>
      </c>
      <c r="E41" s="108" t="s">
        <v>246</v>
      </c>
      <c r="F41" s="108" t="s">
        <v>229</v>
      </c>
      <c r="G41" s="133"/>
      <c r="H41" s="133">
        <v>144.79</v>
      </c>
      <c r="I41" s="133"/>
      <c r="J41" s="133"/>
      <c r="K41" s="134"/>
      <c r="L41" s="133"/>
      <c r="M41" s="134"/>
      <c r="N41" s="135"/>
      <c r="O41" s="136"/>
      <c r="P41" s="136"/>
      <c r="Q41" s="136"/>
      <c r="R41" s="136"/>
      <c r="S41" s="136"/>
      <c r="T41" s="136"/>
      <c r="U41" s="136"/>
      <c r="V41" s="134">
        <f>H41</f>
        <v>144.79</v>
      </c>
      <c r="W41" s="104"/>
    </row>
    <row r="42" spans="1:23" ht="51">
      <c r="A42" s="128" t="s">
        <v>247</v>
      </c>
      <c r="B42" s="108" t="s">
        <v>216</v>
      </c>
      <c r="C42" s="108" t="s">
        <v>211</v>
      </c>
      <c r="D42" s="108" t="s">
        <v>245</v>
      </c>
      <c r="E42" s="108" t="s">
        <v>248</v>
      </c>
      <c r="F42" s="108"/>
      <c r="G42" s="133">
        <f aca="true" t="shared" si="13" ref="G42:M42">G43</f>
        <v>0</v>
      </c>
      <c r="H42" s="133">
        <f t="shared" si="13"/>
        <v>0</v>
      </c>
      <c r="I42" s="133">
        <f t="shared" si="13"/>
        <v>0</v>
      </c>
      <c r="J42" s="133">
        <f t="shared" si="13"/>
        <v>41.304</v>
      </c>
      <c r="K42" s="134">
        <f t="shared" si="13"/>
        <v>0</v>
      </c>
      <c r="L42" s="133">
        <f t="shared" si="13"/>
        <v>6.5205</v>
      </c>
      <c r="M42" s="134">
        <f t="shared" si="13"/>
        <v>0</v>
      </c>
      <c r="N42" s="135"/>
      <c r="O42" s="136"/>
      <c r="P42" s="136"/>
      <c r="Q42" s="136"/>
      <c r="R42" s="136"/>
      <c r="S42" s="136"/>
      <c r="T42" s="136"/>
      <c r="U42" s="136"/>
      <c r="V42" s="134">
        <f>V43</f>
        <v>47.8245</v>
      </c>
      <c r="W42" s="104"/>
    </row>
    <row r="43" spans="1:23" ht="25.5">
      <c r="A43" s="107" t="s">
        <v>221</v>
      </c>
      <c r="B43" s="108" t="s">
        <v>216</v>
      </c>
      <c r="C43" s="108" t="s">
        <v>211</v>
      </c>
      <c r="D43" s="108" t="s">
        <v>245</v>
      </c>
      <c r="E43" s="108" t="s">
        <v>248</v>
      </c>
      <c r="F43" s="108" t="s">
        <v>229</v>
      </c>
      <c r="G43" s="133"/>
      <c r="H43" s="133"/>
      <c r="I43" s="133"/>
      <c r="J43" s="133">
        <v>41.304</v>
      </c>
      <c r="K43" s="134"/>
      <c r="L43" s="133">
        <v>6.5205</v>
      </c>
      <c r="M43" s="134"/>
      <c r="N43" s="135"/>
      <c r="O43" s="136"/>
      <c r="P43" s="136"/>
      <c r="Q43" s="136"/>
      <c r="R43" s="136"/>
      <c r="S43" s="136"/>
      <c r="T43" s="136"/>
      <c r="U43" s="136"/>
      <c r="V43" s="134">
        <f>J43+L43</f>
        <v>47.8245</v>
      </c>
      <c r="W43" s="104"/>
    </row>
    <row r="44" spans="1:23" ht="38.25">
      <c r="A44" s="137" t="s">
        <v>249</v>
      </c>
      <c r="B44" s="108" t="s">
        <v>216</v>
      </c>
      <c r="C44" s="108" t="s">
        <v>211</v>
      </c>
      <c r="D44" s="108" t="s">
        <v>245</v>
      </c>
      <c r="E44" s="108" t="s">
        <v>250</v>
      </c>
      <c r="F44" s="106"/>
      <c r="G44" s="133">
        <f aca="true" t="shared" si="14" ref="G44:M44">G45</f>
        <v>279.234</v>
      </c>
      <c r="H44" s="133">
        <f t="shared" si="14"/>
        <v>0</v>
      </c>
      <c r="I44" s="133">
        <f t="shared" si="14"/>
        <v>0</v>
      </c>
      <c r="J44" s="133">
        <f t="shared" si="14"/>
        <v>0</v>
      </c>
      <c r="K44" s="134">
        <f t="shared" si="14"/>
        <v>0</v>
      </c>
      <c r="L44" s="133">
        <f t="shared" si="14"/>
        <v>0</v>
      </c>
      <c r="M44" s="134">
        <f t="shared" si="14"/>
        <v>0</v>
      </c>
      <c r="N44" s="135"/>
      <c r="O44" s="136"/>
      <c r="P44" s="136"/>
      <c r="Q44" s="136"/>
      <c r="R44" s="136"/>
      <c r="S44" s="136"/>
      <c r="T44" s="136"/>
      <c r="U44" s="136"/>
      <c r="V44" s="134">
        <f>V45</f>
        <v>279.234</v>
      </c>
      <c r="W44" s="104"/>
    </row>
    <row r="45" spans="1:23" ht="25.5">
      <c r="A45" s="107" t="s">
        <v>221</v>
      </c>
      <c r="B45" s="108" t="s">
        <v>216</v>
      </c>
      <c r="C45" s="108" t="s">
        <v>211</v>
      </c>
      <c r="D45" s="108" t="s">
        <v>245</v>
      </c>
      <c r="E45" s="108" t="s">
        <v>250</v>
      </c>
      <c r="F45" s="108" t="s">
        <v>229</v>
      </c>
      <c r="G45" s="133">
        <v>279.234</v>
      </c>
      <c r="H45" s="113"/>
      <c r="I45" s="113"/>
      <c r="J45" s="113"/>
      <c r="K45" s="114"/>
      <c r="L45" s="113"/>
      <c r="M45" s="114"/>
      <c r="N45" s="115"/>
      <c r="O45" s="116"/>
      <c r="P45" s="116"/>
      <c r="Q45" s="116"/>
      <c r="R45" s="116"/>
      <c r="S45" s="116"/>
      <c r="T45" s="116"/>
      <c r="U45" s="116"/>
      <c r="V45" s="114">
        <f>G45+H45+I45</f>
        <v>279.234</v>
      </c>
      <c r="W45" s="104"/>
    </row>
    <row r="46" spans="1:23" ht="25.5">
      <c r="A46" s="138" t="s">
        <v>251</v>
      </c>
      <c r="B46" s="108" t="s">
        <v>216</v>
      </c>
      <c r="C46" s="108" t="s">
        <v>211</v>
      </c>
      <c r="D46" s="108" t="s">
        <v>245</v>
      </c>
      <c r="E46" s="108" t="s">
        <v>252</v>
      </c>
      <c r="F46" s="108"/>
      <c r="G46" s="133">
        <f aca="true" t="shared" si="15" ref="G46:Q46">G47</f>
        <v>0</v>
      </c>
      <c r="H46" s="133">
        <f t="shared" si="15"/>
        <v>0</v>
      </c>
      <c r="I46" s="133">
        <f t="shared" si="15"/>
        <v>0</v>
      </c>
      <c r="J46" s="133">
        <f t="shared" si="15"/>
        <v>150</v>
      </c>
      <c r="K46" s="134">
        <f t="shared" si="15"/>
        <v>14999.9</v>
      </c>
      <c r="L46" s="133">
        <f t="shared" si="15"/>
        <v>700</v>
      </c>
      <c r="M46" s="134">
        <f t="shared" si="15"/>
        <v>0</v>
      </c>
      <c r="N46" s="135">
        <f t="shared" si="15"/>
        <v>950</v>
      </c>
      <c r="O46" s="136">
        <f t="shared" si="15"/>
        <v>0</v>
      </c>
      <c r="P46" s="136">
        <f t="shared" si="15"/>
        <v>100</v>
      </c>
      <c r="Q46" s="136">
        <f t="shared" si="15"/>
        <v>0</v>
      </c>
      <c r="R46" s="136"/>
      <c r="S46" s="136"/>
      <c r="T46" s="136"/>
      <c r="U46" s="136"/>
      <c r="V46" s="134">
        <f>V47</f>
        <v>16899.9</v>
      </c>
      <c r="W46" s="104"/>
    </row>
    <row r="47" spans="1:23" ht="25.5">
      <c r="A47" s="107" t="s">
        <v>253</v>
      </c>
      <c r="B47" s="108" t="s">
        <v>216</v>
      </c>
      <c r="C47" s="108" t="s">
        <v>211</v>
      </c>
      <c r="D47" s="108" t="s">
        <v>245</v>
      </c>
      <c r="E47" s="108" t="s">
        <v>252</v>
      </c>
      <c r="F47" s="108" t="s">
        <v>254</v>
      </c>
      <c r="G47" s="133"/>
      <c r="H47" s="113"/>
      <c r="I47" s="113"/>
      <c r="J47" s="113">
        <v>150</v>
      </c>
      <c r="K47" s="114">
        <v>14999.9</v>
      </c>
      <c r="L47" s="113">
        <v>700</v>
      </c>
      <c r="M47" s="114"/>
      <c r="N47" s="115">
        <v>950</v>
      </c>
      <c r="O47" s="116"/>
      <c r="P47" s="116">
        <v>100</v>
      </c>
      <c r="Q47" s="116"/>
      <c r="R47" s="116"/>
      <c r="S47" s="116"/>
      <c r="T47" s="116"/>
      <c r="U47" s="116"/>
      <c r="V47" s="114">
        <f>G47+H47+I47+J47+K47+L47+N47+P47</f>
        <v>16899.9</v>
      </c>
      <c r="W47" s="104"/>
    </row>
    <row r="48" spans="1:23" ht="38.25">
      <c r="A48" s="128" t="s">
        <v>255</v>
      </c>
      <c r="B48" s="108" t="s">
        <v>216</v>
      </c>
      <c r="C48" s="108" t="s">
        <v>211</v>
      </c>
      <c r="D48" s="108" t="s">
        <v>245</v>
      </c>
      <c r="E48" s="108" t="s">
        <v>256</v>
      </c>
      <c r="F48" s="108"/>
      <c r="G48" s="133">
        <f aca="true" t="shared" si="16" ref="G48:M48">G49</f>
        <v>0</v>
      </c>
      <c r="H48" s="133">
        <f t="shared" si="16"/>
        <v>0</v>
      </c>
      <c r="I48" s="133">
        <f t="shared" si="16"/>
        <v>0</v>
      </c>
      <c r="J48" s="133">
        <f t="shared" si="16"/>
        <v>0</v>
      </c>
      <c r="K48" s="134">
        <f t="shared" si="16"/>
        <v>250</v>
      </c>
      <c r="L48" s="133">
        <f t="shared" si="16"/>
        <v>0</v>
      </c>
      <c r="M48" s="134">
        <f t="shared" si="16"/>
        <v>0</v>
      </c>
      <c r="N48" s="135"/>
      <c r="O48" s="136"/>
      <c r="P48" s="136"/>
      <c r="Q48" s="136"/>
      <c r="R48" s="136"/>
      <c r="S48" s="136"/>
      <c r="T48" s="136"/>
      <c r="U48" s="136"/>
      <c r="V48" s="134">
        <f>V49</f>
        <v>250</v>
      </c>
      <c r="W48" s="104"/>
    </row>
    <row r="49" spans="1:23" ht="25.5">
      <c r="A49" s="107" t="s">
        <v>221</v>
      </c>
      <c r="B49" s="108" t="s">
        <v>216</v>
      </c>
      <c r="C49" s="108" t="s">
        <v>211</v>
      </c>
      <c r="D49" s="108" t="s">
        <v>245</v>
      </c>
      <c r="E49" s="108" t="s">
        <v>256</v>
      </c>
      <c r="F49" s="108" t="s">
        <v>229</v>
      </c>
      <c r="G49" s="133"/>
      <c r="H49" s="113"/>
      <c r="I49" s="113"/>
      <c r="J49" s="113"/>
      <c r="K49" s="114">
        <v>250</v>
      </c>
      <c r="L49" s="113"/>
      <c r="M49" s="114"/>
      <c r="N49" s="115"/>
      <c r="O49" s="116"/>
      <c r="P49" s="116"/>
      <c r="Q49" s="116"/>
      <c r="R49" s="116"/>
      <c r="S49" s="116"/>
      <c r="T49" s="116"/>
      <c r="U49" s="116"/>
      <c r="V49" s="114">
        <f>K49</f>
        <v>250</v>
      </c>
      <c r="W49" s="104"/>
    </row>
    <row r="50" spans="1:23" ht="63.75">
      <c r="A50" s="107" t="s">
        <v>257</v>
      </c>
      <c r="B50" s="108" t="s">
        <v>216</v>
      </c>
      <c r="C50" s="108" t="s">
        <v>211</v>
      </c>
      <c r="D50" s="108" t="s">
        <v>245</v>
      </c>
      <c r="E50" s="108" t="s">
        <v>258</v>
      </c>
      <c r="F50" s="108"/>
      <c r="G50" s="109">
        <f aca="true" t="shared" si="17" ref="G50:M50">G51</f>
        <v>506</v>
      </c>
      <c r="H50" s="109">
        <f t="shared" si="17"/>
        <v>0</v>
      </c>
      <c r="I50" s="109">
        <f t="shared" si="17"/>
        <v>0</v>
      </c>
      <c r="J50" s="109">
        <f t="shared" si="17"/>
        <v>0</v>
      </c>
      <c r="K50" s="110">
        <f t="shared" si="17"/>
        <v>0</v>
      </c>
      <c r="L50" s="109">
        <f t="shared" si="17"/>
        <v>0</v>
      </c>
      <c r="M50" s="110">
        <f t="shared" si="17"/>
        <v>0</v>
      </c>
      <c r="N50" s="111"/>
      <c r="O50" s="112"/>
      <c r="P50" s="112"/>
      <c r="Q50" s="112"/>
      <c r="R50" s="112"/>
      <c r="S50" s="112"/>
      <c r="T50" s="112"/>
      <c r="U50" s="112"/>
      <c r="V50" s="110">
        <f>V51</f>
        <v>506</v>
      </c>
      <c r="W50" s="104"/>
    </row>
    <row r="51" spans="1:23" ht="25.5">
      <c r="A51" s="107" t="s">
        <v>253</v>
      </c>
      <c r="B51" s="108" t="s">
        <v>216</v>
      </c>
      <c r="C51" s="108" t="s">
        <v>211</v>
      </c>
      <c r="D51" s="108" t="s">
        <v>245</v>
      </c>
      <c r="E51" s="108" t="s">
        <v>258</v>
      </c>
      <c r="F51" s="108" t="s">
        <v>254</v>
      </c>
      <c r="G51" s="109">
        <v>506</v>
      </c>
      <c r="H51" s="113"/>
      <c r="I51" s="113"/>
      <c r="J51" s="113"/>
      <c r="K51" s="114"/>
      <c r="L51" s="113"/>
      <c r="M51" s="114"/>
      <c r="N51" s="115"/>
      <c r="O51" s="116"/>
      <c r="P51" s="116"/>
      <c r="Q51" s="116"/>
      <c r="R51" s="116"/>
      <c r="S51" s="116"/>
      <c r="T51" s="116"/>
      <c r="U51" s="116"/>
      <c r="V51" s="114">
        <f>G51+H51+I51</f>
        <v>506</v>
      </c>
      <c r="W51" s="104"/>
    </row>
    <row r="52" spans="1:23" ht="102">
      <c r="A52" s="107" t="s">
        <v>259</v>
      </c>
      <c r="B52" s="108" t="s">
        <v>216</v>
      </c>
      <c r="C52" s="108" t="s">
        <v>211</v>
      </c>
      <c r="D52" s="108" t="s">
        <v>245</v>
      </c>
      <c r="E52" s="108" t="s">
        <v>260</v>
      </c>
      <c r="F52" s="108"/>
      <c r="G52" s="109">
        <f aca="true" t="shared" si="18" ref="G52:M52">G53</f>
        <v>11.9</v>
      </c>
      <c r="H52" s="109">
        <f t="shared" si="18"/>
        <v>0</v>
      </c>
      <c r="I52" s="109">
        <f t="shared" si="18"/>
        <v>0</v>
      </c>
      <c r="J52" s="109">
        <f t="shared" si="18"/>
        <v>0</v>
      </c>
      <c r="K52" s="110">
        <f t="shared" si="18"/>
        <v>0</v>
      </c>
      <c r="L52" s="109">
        <f t="shared" si="18"/>
        <v>0</v>
      </c>
      <c r="M52" s="110">
        <f t="shared" si="18"/>
        <v>0</v>
      </c>
      <c r="N52" s="111"/>
      <c r="O52" s="112"/>
      <c r="P52" s="112"/>
      <c r="Q52" s="112"/>
      <c r="R52" s="112"/>
      <c r="S52" s="112"/>
      <c r="T52" s="112"/>
      <c r="U52" s="112"/>
      <c r="V52" s="110">
        <f>V53</f>
        <v>11.9</v>
      </c>
      <c r="W52" s="104"/>
    </row>
    <row r="53" spans="1:23" ht="25.5">
      <c r="A53" s="107" t="s">
        <v>221</v>
      </c>
      <c r="B53" s="108" t="s">
        <v>216</v>
      </c>
      <c r="C53" s="108" t="s">
        <v>211</v>
      </c>
      <c r="D53" s="108" t="s">
        <v>245</v>
      </c>
      <c r="E53" s="108" t="s">
        <v>260</v>
      </c>
      <c r="F53" s="108" t="s">
        <v>229</v>
      </c>
      <c r="G53" s="109">
        <v>11.9</v>
      </c>
      <c r="H53" s="113"/>
      <c r="I53" s="113"/>
      <c r="J53" s="113"/>
      <c r="K53" s="114"/>
      <c r="L53" s="113"/>
      <c r="M53" s="114"/>
      <c r="N53" s="115"/>
      <c r="O53" s="116"/>
      <c r="P53" s="116"/>
      <c r="Q53" s="116"/>
      <c r="R53" s="116"/>
      <c r="S53" s="116"/>
      <c r="T53" s="116"/>
      <c r="U53" s="116"/>
      <c r="V53" s="114">
        <f>G53+H53+I53</f>
        <v>11.9</v>
      </c>
      <c r="W53" s="104"/>
    </row>
    <row r="54" spans="1:23" ht="25.5">
      <c r="A54" s="107" t="s">
        <v>261</v>
      </c>
      <c r="B54" s="108" t="s">
        <v>216</v>
      </c>
      <c r="C54" s="108" t="s">
        <v>211</v>
      </c>
      <c r="D54" s="108" t="s">
        <v>245</v>
      </c>
      <c r="E54" s="108" t="s">
        <v>262</v>
      </c>
      <c r="F54" s="108"/>
      <c r="G54" s="109">
        <f aca="true" t="shared" si="19" ref="G54:M54">G55</f>
        <v>2319</v>
      </c>
      <c r="H54" s="109">
        <f t="shared" si="19"/>
        <v>0</v>
      </c>
      <c r="I54" s="109">
        <f t="shared" si="19"/>
        <v>0</v>
      </c>
      <c r="J54" s="109">
        <f t="shared" si="19"/>
        <v>0</v>
      </c>
      <c r="K54" s="110">
        <f t="shared" si="19"/>
        <v>0</v>
      </c>
      <c r="L54" s="109">
        <f t="shared" si="19"/>
        <v>0</v>
      </c>
      <c r="M54" s="110">
        <f t="shared" si="19"/>
        <v>0</v>
      </c>
      <c r="N54" s="111"/>
      <c r="O54" s="112"/>
      <c r="P54" s="112"/>
      <c r="Q54" s="112"/>
      <c r="R54" s="112"/>
      <c r="S54" s="112"/>
      <c r="T54" s="112"/>
      <c r="U54" s="112"/>
      <c r="V54" s="110">
        <f>V55</f>
        <v>2319</v>
      </c>
      <c r="W54" s="104"/>
    </row>
    <row r="55" spans="1:23" ht="25.5">
      <c r="A55" s="107" t="s">
        <v>221</v>
      </c>
      <c r="B55" s="108" t="s">
        <v>216</v>
      </c>
      <c r="C55" s="108" t="s">
        <v>211</v>
      </c>
      <c r="D55" s="108" t="s">
        <v>245</v>
      </c>
      <c r="E55" s="108" t="s">
        <v>262</v>
      </c>
      <c r="F55" s="108" t="s">
        <v>229</v>
      </c>
      <c r="G55" s="109">
        <v>2319</v>
      </c>
      <c r="H55" s="113"/>
      <c r="I55" s="113"/>
      <c r="J55" s="113"/>
      <c r="K55" s="114"/>
      <c r="L55" s="113"/>
      <c r="M55" s="114"/>
      <c r="N55" s="115"/>
      <c r="O55" s="116"/>
      <c r="P55" s="116"/>
      <c r="Q55" s="116"/>
      <c r="R55" s="116"/>
      <c r="S55" s="116"/>
      <c r="T55" s="116"/>
      <c r="U55" s="116"/>
      <c r="V55" s="114">
        <f>G55+H55+I55</f>
        <v>2319</v>
      </c>
      <c r="W55" s="104"/>
    </row>
    <row r="56" spans="1:23" ht="63.75">
      <c r="A56" s="128" t="s">
        <v>263</v>
      </c>
      <c r="B56" s="108" t="s">
        <v>216</v>
      </c>
      <c r="C56" s="108" t="s">
        <v>211</v>
      </c>
      <c r="D56" s="108" t="s">
        <v>245</v>
      </c>
      <c r="E56" s="108" t="s">
        <v>264</v>
      </c>
      <c r="F56" s="108"/>
      <c r="G56" s="109"/>
      <c r="H56" s="113"/>
      <c r="I56" s="113"/>
      <c r="J56" s="113"/>
      <c r="K56" s="114"/>
      <c r="L56" s="113"/>
      <c r="M56" s="114"/>
      <c r="N56" s="115">
        <f>N57</f>
        <v>4000</v>
      </c>
      <c r="O56" s="115">
        <f aca="true" t="shared" si="20" ref="O56:T56">O57</f>
        <v>0</v>
      </c>
      <c r="P56" s="115">
        <f t="shared" si="20"/>
        <v>0</v>
      </c>
      <c r="Q56" s="115">
        <f t="shared" si="20"/>
        <v>0</v>
      </c>
      <c r="R56" s="115">
        <f t="shared" si="20"/>
        <v>0</v>
      </c>
      <c r="S56" s="115">
        <f t="shared" si="20"/>
        <v>0</v>
      </c>
      <c r="T56" s="115">
        <f t="shared" si="20"/>
        <v>58.8</v>
      </c>
      <c r="U56" s="115"/>
      <c r="V56" s="116">
        <f>V57</f>
        <v>4058.8</v>
      </c>
      <c r="W56" s="104"/>
    </row>
    <row r="57" spans="1:23" ht="25.5">
      <c r="A57" s="107" t="s">
        <v>221</v>
      </c>
      <c r="B57" s="108" t="s">
        <v>216</v>
      </c>
      <c r="C57" s="108" t="s">
        <v>211</v>
      </c>
      <c r="D57" s="108" t="s">
        <v>245</v>
      </c>
      <c r="E57" s="108" t="s">
        <v>264</v>
      </c>
      <c r="F57" s="108" t="s">
        <v>229</v>
      </c>
      <c r="G57" s="109"/>
      <c r="H57" s="113"/>
      <c r="I57" s="113"/>
      <c r="J57" s="113"/>
      <c r="K57" s="114"/>
      <c r="L57" s="113"/>
      <c r="M57" s="114"/>
      <c r="N57" s="115">
        <v>4000</v>
      </c>
      <c r="O57" s="116"/>
      <c r="P57" s="116"/>
      <c r="Q57" s="116"/>
      <c r="R57" s="116"/>
      <c r="S57" s="116"/>
      <c r="T57" s="116">
        <v>58.8</v>
      </c>
      <c r="U57" s="116"/>
      <c r="V57" s="114">
        <f>N57+T57</f>
        <v>4058.8</v>
      </c>
      <c r="W57" s="104"/>
    </row>
    <row r="58" spans="1:23" ht="25.5">
      <c r="A58" s="118" t="s">
        <v>265</v>
      </c>
      <c r="B58" s="108" t="s">
        <v>216</v>
      </c>
      <c r="C58" s="108" t="s">
        <v>211</v>
      </c>
      <c r="D58" s="108" t="s">
        <v>245</v>
      </c>
      <c r="E58" s="108" t="s">
        <v>266</v>
      </c>
      <c r="F58" s="108"/>
      <c r="G58" s="109"/>
      <c r="H58" s="113"/>
      <c r="I58" s="113"/>
      <c r="J58" s="113"/>
      <c r="K58" s="114"/>
      <c r="L58" s="113"/>
      <c r="M58" s="114"/>
      <c r="N58" s="115"/>
      <c r="O58" s="116"/>
      <c r="P58" s="116">
        <f>P59</f>
        <v>1000</v>
      </c>
      <c r="Q58" s="116"/>
      <c r="R58" s="116"/>
      <c r="S58" s="116"/>
      <c r="T58" s="116"/>
      <c r="U58" s="116"/>
      <c r="V58" s="114">
        <f>V59</f>
        <v>1000</v>
      </c>
      <c r="W58" s="104"/>
    </row>
    <row r="59" spans="1:23" ht="25.5">
      <c r="A59" s="107" t="s">
        <v>221</v>
      </c>
      <c r="B59" s="108" t="s">
        <v>216</v>
      </c>
      <c r="C59" s="108" t="s">
        <v>211</v>
      </c>
      <c r="D59" s="108" t="s">
        <v>245</v>
      </c>
      <c r="E59" s="108" t="s">
        <v>266</v>
      </c>
      <c r="F59" s="108" t="s">
        <v>229</v>
      </c>
      <c r="G59" s="109"/>
      <c r="H59" s="113"/>
      <c r="I59" s="113"/>
      <c r="J59" s="113"/>
      <c r="K59" s="114"/>
      <c r="L59" s="113"/>
      <c r="M59" s="114"/>
      <c r="N59" s="115"/>
      <c r="O59" s="116"/>
      <c r="P59" s="116">
        <v>1000</v>
      </c>
      <c r="Q59" s="116"/>
      <c r="R59" s="116"/>
      <c r="S59" s="116"/>
      <c r="T59" s="116"/>
      <c r="U59" s="116"/>
      <c r="V59" s="114">
        <f>P59</f>
        <v>1000</v>
      </c>
      <c r="W59" s="104"/>
    </row>
    <row r="60" spans="1:23" ht="25.5">
      <c r="A60" s="105" t="s">
        <v>267</v>
      </c>
      <c r="B60" s="106"/>
      <c r="C60" s="106" t="s">
        <v>217</v>
      </c>
      <c r="D60" s="106" t="s">
        <v>268</v>
      </c>
      <c r="E60" s="106"/>
      <c r="F60" s="108"/>
      <c r="G60" s="39">
        <f aca="true" t="shared" si="21" ref="G60:V61">G61</f>
        <v>1820.016</v>
      </c>
      <c r="H60" s="39">
        <f t="shared" si="21"/>
        <v>0</v>
      </c>
      <c r="I60" s="39">
        <f t="shared" si="21"/>
        <v>0</v>
      </c>
      <c r="J60" s="39">
        <f t="shared" si="21"/>
        <v>0</v>
      </c>
      <c r="K60" s="101">
        <f t="shared" si="21"/>
        <v>0</v>
      </c>
      <c r="L60" s="39">
        <f t="shared" si="21"/>
        <v>292.33</v>
      </c>
      <c r="M60" s="101">
        <f t="shared" si="21"/>
        <v>0</v>
      </c>
      <c r="N60" s="39">
        <f t="shared" si="21"/>
        <v>0</v>
      </c>
      <c r="O60" s="39">
        <f t="shared" si="21"/>
        <v>0</v>
      </c>
      <c r="P60" s="101">
        <f t="shared" si="21"/>
        <v>0</v>
      </c>
      <c r="Q60" s="101">
        <f t="shared" si="21"/>
        <v>0</v>
      </c>
      <c r="R60" s="39">
        <f t="shared" si="21"/>
        <v>0</v>
      </c>
      <c r="S60" s="39">
        <f t="shared" si="21"/>
        <v>0</v>
      </c>
      <c r="T60" s="39">
        <f t="shared" si="21"/>
        <v>75.213</v>
      </c>
      <c r="U60" s="39"/>
      <c r="V60" s="101">
        <f t="shared" si="21"/>
        <v>2187.559</v>
      </c>
      <c r="W60" s="104"/>
    </row>
    <row r="61" spans="1:23" ht="51">
      <c r="A61" s="107" t="s">
        <v>269</v>
      </c>
      <c r="B61" s="108" t="s">
        <v>216</v>
      </c>
      <c r="C61" s="108" t="s">
        <v>217</v>
      </c>
      <c r="D61" s="108" t="s">
        <v>268</v>
      </c>
      <c r="E61" s="108" t="s">
        <v>270</v>
      </c>
      <c r="F61" s="108"/>
      <c r="G61" s="109">
        <f aca="true" t="shared" si="22" ref="G61:M61">G62</f>
        <v>1820.016</v>
      </c>
      <c r="H61" s="109">
        <f t="shared" si="22"/>
        <v>0</v>
      </c>
      <c r="I61" s="109">
        <f t="shared" si="22"/>
        <v>0</v>
      </c>
      <c r="J61" s="109">
        <f t="shared" si="22"/>
        <v>0</v>
      </c>
      <c r="K61" s="110">
        <f t="shared" si="22"/>
        <v>0</v>
      </c>
      <c r="L61" s="109">
        <f t="shared" si="22"/>
        <v>292.33</v>
      </c>
      <c r="M61" s="110">
        <f t="shared" si="22"/>
        <v>0</v>
      </c>
      <c r="N61" s="110">
        <f t="shared" si="21"/>
        <v>0</v>
      </c>
      <c r="O61" s="110">
        <f t="shared" si="21"/>
        <v>0</v>
      </c>
      <c r="P61" s="110">
        <f t="shared" si="21"/>
        <v>0</v>
      </c>
      <c r="Q61" s="110">
        <f t="shared" si="21"/>
        <v>0</v>
      </c>
      <c r="R61" s="110">
        <f t="shared" si="21"/>
        <v>0</v>
      </c>
      <c r="S61" s="110">
        <f t="shared" si="21"/>
        <v>0</v>
      </c>
      <c r="T61" s="110">
        <f>T62</f>
        <v>75.213</v>
      </c>
      <c r="U61" s="110"/>
      <c r="V61" s="110">
        <f>V62</f>
        <v>2187.559</v>
      </c>
      <c r="W61" s="104"/>
    </row>
    <row r="62" spans="1:23" ht="12.75">
      <c r="A62" s="107" t="s">
        <v>271</v>
      </c>
      <c r="B62" s="108" t="s">
        <v>216</v>
      </c>
      <c r="C62" s="108" t="s">
        <v>217</v>
      </c>
      <c r="D62" s="108" t="s">
        <v>268</v>
      </c>
      <c r="E62" s="108" t="s">
        <v>270</v>
      </c>
      <c r="F62" s="108" t="s">
        <v>272</v>
      </c>
      <c r="G62" s="109">
        <v>1820.016</v>
      </c>
      <c r="H62" s="113"/>
      <c r="I62" s="113"/>
      <c r="J62" s="113"/>
      <c r="K62" s="114"/>
      <c r="L62" s="113">
        <v>292.33</v>
      </c>
      <c r="M62" s="114"/>
      <c r="N62" s="115"/>
      <c r="O62" s="116"/>
      <c r="P62" s="116"/>
      <c r="Q62" s="116"/>
      <c r="R62" s="116"/>
      <c r="S62" s="116"/>
      <c r="T62" s="116">
        <v>75.213</v>
      </c>
      <c r="U62" s="116"/>
      <c r="V62" s="114">
        <f>G62+H62+I62+L62+T62</f>
        <v>2187.559</v>
      </c>
      <c r="W62" s="104"/>
    </row>
    <row r="63" spans="1:23" ht="51">
      <c r="A63" s="105" t="s">
        <v>273</v>
      </c>
      <c r="B63" s="106"/>
      <c r="C63" s="106" t="s">
        <v>268</v>
      </c>
      <c r="D63" s="106"/>
      <c r="E63" s="106"/>
      <c r="F63" s="106"/>
      <c r="G63" s="39">
        <f aca="true" t="shared" si="23" ref="G63:V63">G64+G70+G67</f>
        <v>1500</v>
      </c>
      <c r="H63" s="39">
        <f t="shared" si="23"/>
        <v>0</v>
      </c>
      <c r="I63" s="39">
        <f t="shared" si="23"/>
        <v>0</v>
      </c>
      <c r="J63" s="39">
        <f t="shared" si="23"/>
        <v>0</v>
      </c>
      <c r="K63" s="101">
        <f t="shared" si="23"/>
        <v>0</v>
      </c>
      <c r="L63" s="39">
        <f t="shared" si="23"/>
        <v>0</v>
      </c>
      <c r="M63" s="101">
        <f t="shared" si="23"/>
        <v>0</v>
      </c>
      <c r="N63" s="102">
        <f t="shared" si="23"/>
        <v>0</v>
      </c>
      <c r="O63" s="103">
        <f t="shared" si="23"/>
        <v>-200</v>
      </c>
      <c r="P63" s="103">
        <f t="shared" si="23"/>
        <v>0</v>
      </c>
      <c r="Q63" s="103">
        <f t="shared" si="23"/>
        <v>0</v>
      </c>
      <c r="R63" s="103">
        <f t="shared" si="23"/>
        <v>0</v>
      </c>
      <c r="S63" s="103">
        <f t="shared" si="23"/>
        <v>-188.44882</v>
      </c>
      <c r="T63" s="103">
        <f t="shared" si="23"/>
        <v>45</v>
      </c>
      <c r="U63" s="103">
        <f t="shared" si="23"/>
        <v>-400</v>
      </c>
      <c r="V63" s="101">
        <f t="shared" si="23"/>
        <v>756.5511799999999</v>
      </c>
      <c r="W63" s="104"/>
    </row>
    <row r="64" spans="1:23" ht="12.75">
      <c r="A64" s="117" t="s">
        <v>274</v>
      </c>
      <c r="B64" s="106"/>
      <c r="C64" s="106" t="s">
        <v>268</v>
      </c>
      <c r="D64" s="106" t="s">
        <v>217</v>
      </c>
      <c r="E64" s="106"/>
      <c r="F64" s="106"/>
      <c r="G64" s="39">
        <f aca="true" t="shared" si="24" ref="G64:V64">G65</f>
        <v>800</v>
      </c>
      <c r="H64" s="39">
        <f t="shared" si="24"/>
        <v>0</v>
      </c>
      <c r="I64" s="39">
        <f t="shared" si="24"/>
        <v>0</v>
      </c>
      <c r="J64" s="39">
        <f t="shared" si="24"/>
        <v>0</v>
      </c>
      <c r="K64" s="101">
        <f t="shared" si="24"/>
        <v>0</v>
      </c>
      <c r="L64" s="39">
        <f t="shared" si="24"/>
        <v>0</v>
      </c>
      <c r="M64" s="101">
        <f t="shared" si="24"/>
        <v>0</v>
      </c>
      <c r="N64" s="39">
        <f t="shared" si="24"/>
        <v>0</v>
      </c>
      <c r="O64" s="39">
        <f t="shared" si="24"/>
        <v>0</v>
      </c>
      <c r="P64" s="101">
        <f t="shared" si="24"/>
        <v>0</v>
      </c>
      <c r="Q64" s="101">
        <f t="shared" si="24"/>
        <v>0</v>
      </c>
      <c r="R64" s="39">
        <f t="shared" si="24"/>
        <v>0</v>
      </c>
      <c r="S64" s="39">
        <f t="shared" si="24"/>
        <v>0</v>
      </c>
      <c r="T64" s="39">
        <f t="shared" si="24"/>
        <v>0</v>
      </c>
      <c r="U64" s="39">
        <f t="shared" si="24"/>
        <v>-400</v>
      </c>
      <c r="V64" s="101">
        <f t="shared" si="24"/>
        <v>400</v>
      </c>
      <c r="W64" s="104"/>
    </row>
    <row r="65" spans="1:23" ht="25.5">
      <c r="A65" s="118" t="s">
        <v>265</v>
      </c>
      <c r="B65" s="108" t="s">
        <v>216</v>
      </c>
      <c r="C65" s="108" t="s">
        <v>268</v>
      </c>
      <c r="D65" s="108" t="s">
        <v>217</v>
      </c>
      <c r="E65" s="108" t="s">
        <v>266</v>
      </c>
      <c r="F65" s="108"/>
      <c r="G65" s="109">
        <f aca="true" t="shared" si="25" ref="G65:U65">G66</f>
        <v>800</v>
      </c>
      <c r="H65" s="109">
        <f t="shared" si="25"/>
        <v>0</v>
      </c>
      <c r="I65" s="109">
        <f t="shared" si="25"/>
        <v>0</v>
      </c>
      <c r="J65" s="109">
        <f t="shared" si="25"/>
        <v>0</v>
      </c>
      <c r="K65" s="110">
        <f t="shared" si="25"/>
        <v>0</v>
      </c>
      <c r="L65" s="109">
        <f t="shared" si="25"/>
        <v>0</v>
      </c>
      <c r="M65" s="110">
        <f t="shared" si="25"/>
        <v>0</v>
      </c>
      <c r="N65" s="110">
        <f t="shared" si="25"/>
        <v>0</v>
      </c>
      <c r="O65" s="110">
        <f t="shared" si="25"/>
        <v>0</v>
      </c>
      <c r="P65" s="110">
        <f t="shared" si="25"/>
        <v>0</v>
      </c>
      <c r="Q65" s="110">
        <f t="shared" si="25"/>
        <v>0</v>
      </c>
      <c r="R65" s="110">
        <f t="shared" si="25"/>
        <v>0</v>
      </c>
      <c r="S65" s="110">
        <f t="shared" si="25"/>
        <v>0</v>
      </c>
      <c r="T65" s="110">
        <f t="shared" si="25"/>
        <v>0</v>
      </c>
      <c r="U65" s="110">
        <f t="shared" si="25"/>
        <v>-400</v>
      </c>
      <c r="V65" s="110">
        <f>V66</f>
        <v>400</v>
      </c>
      <c r="W65" s="104"/>
    </row>
    <row r="66" spans="1:23" ht="25.5">
      <c r="A66" s="107" t="s">
        <v>221</v>
      </c>
      <c r="B66" s="108" t="s">
        <v>216</v>
      </c>
      <c r="C66" s="108" t="s">
        <v>268</v>
      </c>
      <c r="D66" s="108" t="s">
        <v>217</v>
      </c>
      <c r="E66" s="108" t="s">
        <v>266</v>
      </c>
      <c r="F66" s="108" t="s">
        <v>229</v>
      </c>
      <c r="G66" s="109">
        <f>700+100</f>
        <v>800</v>
      </c>
      <c r="H66" s="113"/>
      <c r="I66" s="113"/>
      <c r="J66" s="113"/>
      <c r="K66" s="114"/>
      <c r="L66" s="113"/>
      <c r="M66" s="114"/>
      <c r="N66" s="115"/>
      <c r="O66" s="116"/>
      <c r="P66" s="116"/>
      <c r="Q66" s="116"/>
      <c r="R66" s="116"/>
      <c r="S66" s="116"/>
      <c r="T66" s="116"/>
      <c r="U66" s="116">
        <v>-400</v>
      </c>
      <c r="V66" s="114">
        <f>G66+H66+I66+U66</f>
        <v>400</v>
      </c>
      <c r="W66" s="104"/>
    </row>
    <row r="67" spans="1:23" ht="12.75">
      <c r="A67" s="105" t="s">
        <v>275</v>
      </c>
      <c r="B67" s="108"/>
      <c r="C67" s="106" t="s">
        <v>268</v>
      </c>
      <c r="D67" s="106" t="s">
        <v>224</v>
      </c>
      <c r="E67" s="108"/>
      <c r="F67" s="108"/>
      <c r="G67" s="109">
        <f aca="true" t="shared" si="26" ref="G67:M68">G68</f>
        <v>200</v>
      </c>
      <c r="H67" s="109">
        <f t="shared" si="26"/>
        <v>0</v>
      </c>
      <c r="I67" s="109">
        <f t="shared" si="26"/>
        <v>0</v>
      </c>
      <c r="J67" s="109">
        <f t="shared" si="26"/>
        <v>0</v>
      </c>
      <c r="K67" s="110">
        <f t="shared" si="26"/>
        <v>0</v>
      </c>
      <c r="L67" s="109">
        <f t="shared" si="26"/>
        <v>0</v>
      </c>
      <c r="M67" s="110">
        <f t="shared" si="26"/>
        <v>0</v>
      </c>
      <c r="N67" s="110">
        <f aca="true" t="shared" si="27" ref="N67:V68">N68</f>
        <v>0</v>
      </c>
      <c r="O67" s="110">
        <f t="shared" si="27"/>
        <v>0</v>
      </c>
      <c r="P67" s="110">
        <f t="shared" si="27"/>
        <v>0</v>
      </c>
      <c r="Q67" s="110">
        <f t="shared" si="27"/>
        <v>0</v>
      </c>
      <c r="R67" s="110">
        <f t="shared" si="27"/>
        <v>0</v>
      </c>
      <c r="S67" s="110">
        <f t="shared" si="27"/>
        <v>0</v>
      </c>
      <c r="T67" s="110">
        <f t="shared" si="27"/>
        <v>45</v>
      </c>
      <c r="U67" s="110"/>
      <c r="V67" s="110">
        <f t="shared" si="27"/>
        <v>245</v>
      </c>
      <c r="W67" s="104"/>
    </row>
    <row r="68" spans="1:23" ht="51">
      <c r="A68" s="107" t="s">
        <v>276</v>
      </c>
      <c r="B68" s="108" t="s">
        <v>216</v>
      </c>
      <c r="C68" s="108" t="s">
        <v>268</v>
      </c>
      <c r="D68" s="108" t="s">
        <v>224</v>
      </c>
      <c r="E68" s="108" t="s">
        <v>277</v>
      </c>
      <c r="F68" s="108"/>
      <c r="G68" s="109">
        <f t="shared" si="26"/>
        <v>200</v>
      </c>
      <c r="H68" s="109">
        <f t="shared" si="26"/>
        <v>0</v>
      </c>
      <c r="I68" s="109">
        <f t="shared" si="26"/>
        <v>0</v>
      </c>
      <c r="J68" s="109">
        <f t="shared" si="26"/>
        <v>0</v>
      </c>
      <c r="K68" s="110">
        <f t="shared" si="26"/>
        <v>0</v>
      </c>
      <c r="L68" s="109">
        <f t="shared" si="26"/>
        <v>0</v>
      </c>
      <c r="M68" s="110">
        <f t="shared" si="26"/>
        <v>0</v>
      </c>
      <c r="N68" s="110">
        <f t="shared" si="27"/>
        <v>0</v>
      </c>
      <c r="O68" s="110">
        <f t="shared" si="27"/>
        <v>0</v>
      </c>
      <c r="P68" s="110">
        <f t="shared" si="27"/>
        <v>0</v>
      </c>
      <c r="Q68" s="110">
        <f t="shared" si="27"/>
        <v>0</v>
      </c>
      <c r="R68" s="110">
        <f t="shared" si="27"/>
        <v>0</v>
      </c>
      <c r="S68" s="110">
        <f t="shared" si="27"/>
        <v>0</v>
      </c>
      <c r="T68" s="110">
        <f t="shared" si="27"/>
        <v>45</v>
      </c>
      <c r="U68" s="110"/>
      <c r="V68" s="110">
        <f t="shared" si="27"/>
        <v>245</v>
      </c>
      <c r="W68" s="104"/>
    </row>
    <row r="69" spans="1:23" ht="12.75">
      <c r="A69" s="107" t="s">
        <v>271</v>
      </c>
      <c r="B69" s="108" t="s">
        <v>216</v>
      </c>
      <c r="C69" s="108" t="s">
        <v>268</v>
      </c>
      <c r="D69" s="108" t="s">
        <v>224</v>
      </c>
      <c r="E69" s="108" t="s">
        <v>277</v>
      </c>
      <c r="F69" s="108" t="s">
        <v>272</v>
      </c>
      <c r="G69" s="109">
        <v>200</v>
      </c>
      <c r="H69" s="113"/>
      <c r="I69" s="113"/>
      <c r="J69" s="113"/>
      <c r="K69" s="114"/>
      <c r="L69" s="113"/>
      <c r="M69" s="114"/>
      <c r="N69" s="115"/>
      <c r="O69" s="116"/>
      <c r="P69" s="116"/>
      <c r="Q69" s="116"/>
      <c r="R69" s="116"/>
      <c r="S69" s="116"/>
      <c r="T69" s="116">
        <v>45</v>
      </c>
      <c r="U69" s="116"/>
      <c r="V69" s="114">
        <f>G69+H69+I69+T69</f>
        <v>245</v>
      </c>
      <c r="W69" s="104"/>
    </row>
    <row r="70" spans="1:23" ht="51">
      <c r="A70" s="117" t="s">
        <v>273</v>
      </c>
      <c r="B70" s="108"/>
      <c r="C70" s="106" t="s">
        <v>268</v>
      </c>
      <c r="D70" s="106" t="s">
        <v>278</v>
      </c>
      <c r="E70" s="108"/>
      <c r="F70" s="108"/>
      <c r="G70" s="39">
        <f aca="true" t="shared" si="28" ref="G70:V70">G71</f>
        <v>500</v>
      </c>
      <c r="H70" s="39">
        <f t="shared" si="28"/>
        <v>0</v>
      </c>
      <c r="I70" s="39">
        <f t="shared" si="28"/>
        <v>0</v>
      </c>
      <c r="J70" s="39">
        <f t="shared" si="28"/>
        <v>0</v>
      </c>
      <c r="K70" s="101">
        <f t="shared" si="28"/>
        <v>0</v>
      </c>
      <c r="L70" s="39">
        <f t="shared" si="28"/>
        <v>0</v>
      </c>
      <c r="M70" s="101">
        <f t="shared" si="28"/>
        <v>0</v>
      </c>
      <c r="N70" s="102">
        <f t="shared" si="28"/>
        <v>0</v>
      </c>
      <c r="O70" s="103">
        <f t="shared" si="28"/>
        <v>-200</v>
      </c>
      <c r="P70" s="103">
        <f t="shared" si="28"/>
        <v>0</v>
      </c>
      <c r="Q70" s="103">
        <f t="shared" si="28"/>
        <v>0</v>
      </c>
      <c r="R70" s="103">
        <f t="shared" si="28"/>
        <v>0</v>
      </c>
      <c r="S70" s="103">
        <f t="shared" si="28"/>
        <v>-188.44882</v>
      </c>
      <c r="T70" s="103">
        <f t="shared" si="28"/>
        <v>0</v>
      </c>
      <c r="U70" s="103"/>
      <c r="V70" s="101">
        <f t="shared" si="28"/>
        <v>111.55117999999999</v>
      </c>
      <c r="W70" s="104"/>
    </row>
    <row r="71" spans="1:23" ht="63.75">
      <c r="A71" s="107" t="s">
        <v>279</v>
      </c>
      <c r="B71" s="108" t="s">
        <v>216</v>
      </c>
      <c r="C71" s="108" t="s">
        <v>268</v>
      </c>
      <c r="D71" s="108" t="s">
        <v>278</v>
      </c>
      <c r="E71" s="108" t="s">
        <v>280</v>
      </c>
      <c r="F71" s="108"/>
      <c r="G71" s="109">
        <f aca="true" t="shared" si="29" ref="G71:O71">G72</f>
        <v>500</v>
      </c>
      <c r="H71" s="109">
        <f t="shared" si="29"/>
        <v>0</v>
      </c>
      <c r="I71" s="109">
        <f t="shared" si="29"/>
        <v>0</v>
      </c>
      <c r="J71" s="109">
        <f t="shared" si="29"/>
        <v>0</v>
      </c>
      <c r="K71" s="110">
        <f t="shared" si="29"/>
        <v>0</v>
      </c>
      <c r="L71" s="109">
        <f t="shared" si="29"/>
        <v>0</v>
      </c>
      <c r="M71" s="110">
        <f t="shared" si="29"/>
        <v>0</v>
      </c>
      <c r="N71" s="111">
        <f t="shared" si="29"/>
        <v>0</v>
      </c>
      <c r="O71" s="112">
        <f t="shared" si="29"/>
        <v>-200</v>
      </c>
      <c r="P71" s="112"/>
      <c r="Q71" s="112"/>
      <c r="R71" s="112"/>
      <c r="S71" s="112">
        <f>S72</f>
        <v>-188.44882</v>
      </c>
      <c r="T71" s="112"/>
      <c r="U71" s="112"/>
      <c r="V71" s="110">
        <f>V72</f>
        <v>111.55117999999999</v>
      </c>
      <c r="W71" s="104"/>
    </row>
    <row r="72" spans="1:23" ht="25.5">
      <c r="A72" s="107" t="s">
        <v>221</v>
      </c>
      <c r="B72" s="108" t="s">
        <v>216</v>
      </c>
      <c r="C72" s="108" t="s">
        <v>268</v>
      </c>
      <c r="D72" s="108" t="s">
        <v>278</v>
      </c>
      <c r="E72" s="108" t="s">
        <v>280</v>
      </c>
      <c r="F72" s="108" t="s">
        <v>229</v>
      </c>
      <c r="G72" s="109">
        <v>500</v>
      </c>
      <c r="H72" s="113"/>
      <c r="I72" s="113"/>
      <c r="J72" s="113"/>
      <c r="K72" s="114"/>
      <c r="L72" s="113"/>
      <c r="M72" s="114"/>
      <c r="N72" s="115"/>
      <c r="O72" s="116">
        <v>-200</v>
      </c>
      <c r="P72" s="116"/>
      <c r="Q72" s="116"/>
      <c r="R72" s="116"/>
      <c r="S72" s="116">
        <f>-188.44882</f>
        <v>-188.44882</v>
      </c>
      <c r="T72" s="116"/>
      <c r="U72" s="116"/>
      <c r="V72" s="114">
        <f>G72+H72+I72+O72+S72</f>
        <v>111.55117999999999</v>
      </c>
      <c r="W72" s="104"/>
    </row>
    <row r="73" spans="1:23" ht="12.75">
      <c r="A73" s="105" t="s">
        <v>281</v>
      </c>
      <c r="B73" s="106"/>
      <c r="C73" s="106" t="s">
        <v>224</v>
      </c>
      <c r="D73" s="106"/>
      <c r="E73" s="106"/>
      <c r="F73" s="106"/>
      <c r="G73" s="39">
        <f aca="true" t="shared" si="30" ref="G73:M73">G74+G85+G88+G94+G99+G102</f>
        <v>45219.275</v>
      </c>
      <c r="H73" s="39">
        <f t="shared" si="30"/>
        <v>3289.9</v>
      </c>
      <c r="I73" s="39">
        <f t="shared" si="30"/>
        <v>-1000</v>
      </c>
      <c r="J73" s="39">
        <f t="shared" si="30"/>
        <v>-800</v>
      </c>
      <c r="K73" s="101">
        <f t="shared" si="30"/>
        <v>-13999.9</v>
      </c>
      <c r="L73" s="39">
        <f t="shared" si="30"/>
        <v>5175.656000000001</v>
      </c>
      <c r="M73" s="101">
        <f t="shared" si="30"/>
        <v>-750</v>
      </c>
      <c r="N73" s="102">
        <f aca="true" t="shared" si="31" ref="N73:V73">N74+N85+N88+N94+N99+N102+N91</f>
        <v>3868.8</v>
      </c>
      <c r="O73" s="103">
        <f t="shared" si="31"/>
        <v>200</v>
      </c>
      <c r="P73" s="103">
        <f t="shared" si="31"/>
        <v>1013.08115</v>
      </c>
      <c r="Q73" s="103">
        <f t="shared" si="31"/>
        <v>0</v>
      </c>
      <c r="R73" s="103">
        <f t="shared" si="31"/>
        <v>463.706</v>
      </c>
      <c r="S73" s="103">
        <f t="shared" si="31"/>
        <v>0</v>
      </c>
      <c r="T73" s="103">
        <f t="shared" si="31"/>
        <v>553.6176</v>
      </c>
      <c r="U73" s="103">
        <f t="shared" si="31"/>
        <v>-300</v>
      </c>
      <c r="V73" s="103">
        <f t="shared" si="31"/>
        <v>42934.13575</v>
      </c>
      <c r="W73" s="104"/>
    </row>
    <row r="74" spans="1:23" ht="12.75">
      <c r="A74" s="105" t="s">
        <v>282</v>
      </c>
      <c r="B74" s="106"/>
      <c r="C74" s="106" t="s">
        <v>224</v>
      </c>
      <c r="D74" s="106" t="s">
        <v>211</v>
      </c>
      <c r="E74" s="106"/>
      <c r="F74" s="106"/>
      <c r="G74" s="39">
        <f>G79+G81</f>
        <v>1034.075</v>
      </c>
      <c r="H74" s="39">
        <f>H79+H81</f>
        <v>0</v>
      </c>
      <c r="I74" s="39">
        <f>I79+I81</f>
        <v>0</v>
      </c>
      <c r="J74" s="39">
        <f>J79+J81</f>
        <v>0</v>
      </c>
      <c r="K74" s="101">
        <f>K79+K81</f>
        <v>0</v>
      </c>
      <c r="L74" s="39">
        <f aca="true" t="shared" si="32" ref="L74:V74">L79+L81+L77+L75+L83</f>
        <v>294.05600000000004</v>
      </c>
      <c r="M74" s="39">
        <f t="shared" si="32"/>
        <v>0</v>
      </c>
      <c r="N74" s="39">
        <f t="shared" si="32"/>
        <v>0</v>
      </c>
      <c r="O74" s="39">
        <f t="shared" si="32"/>
        <v>0</v>
      </c>
      <c r="P74" s="39">
        <f t="shared" si="32"/>
        <v>0</v>
      </c>
      <c r="Q74" s="39">
        <f t="shared" si="32"/>
        <v>0</v>
      </c>
      <c r="R74" s="39">
        <f t="shared" si="32"/>
        <v>463.706</v>
      </c>
      <c r="S74" s="39">
        <f t="shared" si="32"/>
        <v>0</v>
      </c>
      <c r="T74" s="39">
        <f t="shared" si="32"/>
        <v>53.6176</v>
      </c>
      <c r="U74" s="39"/>
      <c r="V74" s="39">
        <f t="shared" si="32"/>
        <v>1845.4546</v>
      </c>
      <c r="W74" s="104"/>
    </row>
    <row r="75" spans="1:23" ht="63.75">
      <c r="A75" s="128" t="s">
        <v>283</v>
      </c>
      <c r="B75" s="108" t="s">
        <v>216</v>
      </c>
      <c r="C75" s="108" t="s">
        <v>224</v>
      </c>
      <c r="D75" s="108" t="s">
        <v>211</v>
      </c>
      <c r="E75" s="108" t="s">
        <v>284</v>
      </c>
      <c r="F75" s="106"/>
      <c r="G75" s="39"/>
      <c r="H75" s="39"/>
      <c r="I75" s="39"/>
      <c r="J75" s="39"/>
      <c r="K75" s="110"/>
      <c r="L75" s="109">
        <f>L76</f>
        <v>50</v>
      </c>
      <c r="M75" s="110">
        <f>M76</f>
        <v>0</v>
      </c>
      <c r="N75" s="111"/>
      <c r="O75" s="112"/>
      <c r="P75" s="112"/>
      <c r="Q75" s="112"/>
      <c r="R75" s="112"/>
      <c r="S75" s="112"/>
      <c r="T75" s="112"/>
      <c r="U75" s="112"/>
      <c r="V75" s="110">
        <f>V76</f>
        <v>50</v>
      </c>
      <c r="W75" s="104"/>
    </row>
    <row r="76" spans="1:23" ht="25.5">
      <c r="A76" s="107" t="s">
        <v>253</v>
      </c>
      <c r="B76" s="108" t="s">
        <v>216</v>
      </c>
      <c r="C76" s="108" t="s">
        <v>224</v>
      </c>
      <c r="D76" s="108" t="s">
        <v>211</v>
      </c>
      <c r="E76" s="108" t="s">
        <v>284</v>
      </c>
      <c r="F76" s="108" t="s">
        <v>254</v>
      </c>
      <c r="G76" s="39"/>
      <c r="H76" s="39"/>
      <c r="I76" s="39"/>
      <c r="J76" s="39"/>
      <c r="K76" s="110"/>
      <c r="L76" s="109">
        <v>50</v>
      </c>
      <c r="M76" s="110"/>
      <c r="N76" s="111"/>
      <c r="O76" s="112"/>
      <c r="P76" s="112"/>
      <c r="Q76" s="112"/>
      <c r="R76" s="112"/>
      <c r="S76" s="112"/>
      <c r="T76" s="112"/>
      <c r="U76" s="112"/>
      <c r="V76" s="110">
        <f>L76</f>
        <v>50</v>
      </c>
      <c r="W76" s="104"/>
    </row>
    <row r="77" spans="1:23" ht="63.75">
      <c r="A77" s="128" t="s">
        <v>283</v>
      </c>
      <c r="B77" s="108" t="s">
        <v>216</v>
      </c>
      <c r="C77" s="108" t="s">
        <v>224</v>
      </c>
      <c r="D77" s="108" t="s">
        <v>211</v>
      </c>
      <c r="E77" s="108" t="s">
        <v>284</v>
      </c>
      <c r="F77" s="106"/>
      <c r="G77" s="39"/>
      <c r="H77" s="39"/>
      <c r="I77" s="39"/>
      <c r="J77" s="39"/>
      <c r="K77" s="101"/>
      <c r="L77" s="109">
        <f aca="true" t="shared" si="33" ref="L77:V77">L78</f>
        <v>244.056</v>
      </c>
      <c r="M77" s="110">
        <f t="shared" si="33"/>
        <v>0</v>
      </c>
      <c r="N77" s="109">
        <f t="shared" si="33"/>
        <v>0</v>
      </c>
      <c r="O77" s="109">
        <f t="shared" si="33"/>
        <v>0</v>
      </c>
      <c r="P77" s="110">
        <f t="shared" si="33"/>
        <v>0</v>
      </c>
      <c r="Q77" s="110">
        <f t="shared" si="33"/>
        <v>0</v>
      </c>
      <c r="R77" s="109">
        <f t="shared" si="33"/>
        <v>0</v>
      </c>
      <c r="S77" s="109">
        <f t="shared" si="33"/>
        <v>0</v>
      </c>
      <c r="T77" s="109"/>
      <c r="U77" s="109"/>
      <c r="V77" s="110">
        <f t="shared" si="33"/>
        <v>244.056</v>
      </c>
      <c r="W77" s="104"/>
    </row>
    <row r="78" spans="1:23" ht="12.75">
      <c r="A78" s="139" t="s">
        <v>285</v>
      </c>
      <c r="B78" s="108" t="s">
        <v>216</v>
      </c>
      <c r="C78" s="108" t="s">
        <v>224</v>
      </c>
      <c r="D78" s="108" t="s">
        <v>211</v>
      </c>
      <c r="E78" s="108" t="s">
        <v>284</v>
      </c>
      <c r="F78" s="108" t="s">
        <v>216</v>
      </c>
      <c r="G78" s="39"/>
      <c r="H78" s="39"/>
      <c r="I78" s="39"/>
      <c r="J78" s="39"/>
      <c r="K78" s="101"/>
      <c r="L78" s="109">
        <v>244.056</v>
      </c>
      <c r="M78" s="101"/>
      <c r="N78" s="102"/>
      <c r="O78" s="103"/>
      <c r="P78" s="103"/>
      <c r="Q78" s="103"/>
      <c r="R78" s="103"/>
      <c r="S78" s="103"/>
      <c r="T78" s="103"/>
      <c r="U78" s="103"/>
      <c r="V78" s="110">
        <f>L78</f>
        <v>244.056</v>
      </c>
      <c r="W78" s="104"/>
    </row>
    <row r="79" spans="1:23" ht="51">
      <c r="A79" s="107" t="s">
        <v>286</v>
      </c>
      <c r="B79" s="108" t="s">
        <v>216</v>
      </c>
      <c r="C79" s="108" t="s">
        <v>224</v>
      </c>
      <c r="D79" s="108" t="s">
        <v>211</v>
      </c>
      <c r="E79" s="108" t="s">
        <v>287</v>
      </c>
      <c r="F79" s="108"/>
      <c r="G79" s="109">
        <f aca="true" t="shared" si="34" ref="G79:M79">G80</f>
        <v>982.7</v>
      </c>
      <c r="H79" s="109">
        <f t="shared" si="34"/>
        <v>0</v>
      </c>
      <c r="I79" s="109">
        <f t="shared" si="34"/>
        <v>0</v>
      </c>
      <c r="J79" s="109">
        <f t="shared" si="34"/>
        <v>0</v>
      </c>
      <c r="K79" s="110">
        <f t="shared" si="34"/>
        <v>0</v>
      </c>
      <c r="L79" s="109">
        <f t="shared" si="34"/>
        <v>0</v>
      </c>
      <c r="M79" s="110">
        <f t="shared" si="34"/>
        <v>0</v>
      </c>
      <c r="N79" s="110">
        <f aca="true" t="shared" si="35" ref="N79:V79">N80</f>
        <v>0</v>
      </c>
      <c r="O79" s="110">
        <f t="shared" si="35"/>
        <v>0</v>
      </c>
      <c r="P79" s="110">
        <f t="shared" si="35"/>
        <v>0</v>
      </c>
      <c r="Q79" s="110">
        <f t="shared" si="35"/>
        <v>0</v>
      </c>
      <c r="R79" s="110">
        <f t="shared" si="35"/>
        <v>0</v>
      </c>
      <c r="S79" s="110">
        <f t="shared" si="35"/>
        <v>0</v>
      </c>
      <c r="T79" s="110">
        <f t="shared" si="35"/>
        <v>53.6176</v>
      </c>
      <c r="U79" s="110"/>
      <c r="V79" s="110">
        <f t="shared" si="35"/>
        <v>1036.3176</v>
      </c>
      <c r="W79" s="104"/>
    </row>
    <row r="80" spans="1:23" ht="25.5">
      <c r="A80" s="107" t="s">
        <v>221</v>
      </c>
      <c r="B80" s="108" t="s">
        <v>216</v>
      </c>
      <c r="C80" s="108" t="s">
        <v>224</v>
      </c>
      <c r="D80" s="108" t="s">
        <v>211</v>
      </c>
      <c r="E80" s="108" t="s">
        <v>287</v>
      </c>
      <c r="F80" s="108">
        <v>500</v>
      </c>
      <c r="G80" s="109">
        <v>982.7</v>
      </c>
      <c r="H80" s="113"/>
      <c r="I80" s="113"/>
      <c r="J80" s="113"/>
      <c r="K80" s="114"/>
      <c r="L80" s="113"/>
      <c r="M80" s="114"/>
      <c r="N80" s="115"/>
      <c r="O80" s="116"/>
      <c r="P80" s="116"/>
      <c r="Q80" s="116"/>
      <c r="R80" s="116"/>
      <c r="S80" s="116"/>
      <c r="T80" s="116">
        <v>53.6176</v>
      </c>
      <c r="U80" s="116"/>
      <c r="V80" s="114">
        <f>G80+H80+I80+T80</f>
        <v>1036.3176</v>
      </c>
      <c r="W80" s="104"/>
    </row>
    <row r="81" spans="1:23" ht="51">
      <c r="A81" s="107" t="s">
        <v>288</v>
      </c>
      <c r="B81" s="108" t="s">
        <v>216</v>
      </c>
      <c r="C81" s="108" t="s">
        <v>224</v>
      </c>
      <c r="D81" s="108" t="s">
        <v>211</v>
      </c>
      <c r="E81" s="108" t="s">
        <v>289</v>
      </c>
      <c r="F81" s="108"/>
      <c r="G81" s="109">
        <f aca="true" t="shared" si="36" ref="G81:M81">G82</f>
        <v>51.375</v>
      </c>
      <c r="H81" s="109">
        <f t="shared" si="36"/>
        <v>0</v>
      </c>
      <c r="I81" s="109">
        <f t="shared" si="36"/>
        <v>0</v>
      </c>
      <c r="J81" s="109">
        <f t="shared" si="36"/>
        <v>0</v>
      </c>
      <c r="K81" s="110">
        <f t="shared" si="36"/>
        <v>0</v>
      </c>
      <c r="L81" s="109">
        <f t="shared" si="36"/>
        <v>0</v>
      </c>
      <c r="M81" s="110">
        <f t="shared" si="36"/>
        <v>0</v>
      </c>
      <c r="N81" s="111"/>
      <c r="O81" s="112"/>
      <c r="P81" s="112"/>
      <c r="Q81" s="112"/>
      <c r="R81" s="112"/>
      <c r="S81" s="112"/>
      <c r="T81" s="112"/>
      <c r="U81" s="112"/>
      <c r="V81" s="110">
        <f>V82</f>
        <v>51.375</v>
      </c>
      <c r="W81" s="104"/>
    </row>
    <row r="82" spans="1:23" ht="25.5">
      <c r="A82" s="107" t="s">
        <v>221</v>
      </c>
      <c r="B82" s="108" t="s">
        <v>216</v>
      </c>
      <c r="C82" s="108" t="s">
        <v>224</v>
      </c>
      <c r="D82" s="108" t="s">
        <v>211</v>
      </c>
      <c r="E82" s="108" t="s">
        <v>289</v>
      </c>
      <c r="F82" s="108">
        <v>500</v>
      </c>
      <c r="G82" s="109">
        <v>51.375</v>
      </c>
      <c r="H82" s="113"/>
      <c r="I82" s="113"/>
      <c r="J82" s="113"/>
      <c r="K82" s="114"/>
      <c r="L82" s="113"/>
      <c r="M82" s="114"/>
      <c r="N82" s="115"/>
      <c r="O82" s="116"/>
      <c r="P82" s="116"/>
      <c r="Q82" s="116"/>
      <c r="R82" s="116"/>
      <c r="S82" s="116"/>
      <c r="T82" s="116"/>
      <c r="U82" s="116"/>
      <c r="V82" s="114">
        <f>G82+H82+I82</f>
        <v>51.375</v>
      </c>
      <c r="W82" s="104"/>
    </row>
    <row r="83" spans="1:23" ht="51">
      <c r="A83" s="140" t="s">
        <v>290</v>
      </c>
      <c r="B83" s="108" t="s">
        <v>216</v>
      </c>
      <c r="C83" s="108" t="s">
        <v>224</v>
      </c>
      <c r="D83" s="108" t="s">
        <v>211</v>
      </c>
      <c r="E83" s="108" t="s">
        <v>291</v>
      </c>
      <c r="F83" s="106"/>
      <c r="G83" s="109"/>
      <c r="H83" s="113"/>
      <c r="I83" s="113"/>
      <c r="J83" s="113"/>
      <c r="K83" s="114"/>
      <c r="L83" s="113"/>
      <c r="M83" s="114"/>
      <c r="N83" s="115"/>
      <c r="O83" s="116"/>
      <c r="P83" s="116"/>
      <c r="Q83" s="116"/>
      <c r="R83" s="116">
        <f>R84</f>
        <v>463.706</v>
      </c>
      <c r="S83" s="116">
        <f>S84</f>
        <v>0</v>
      </c>
      <c r="T83" s="116"/>
      <c r="U83" s="116"/>
      <c r="V83" s="116">
        <f>V84</f>
        <v>463.706</v>
      </c>
      <c r="W83" s="104"/>
    </row>
    <row r="84" spans="1:23" ht="12.75">
      <c r="A84" s="139" t="s">
        <v>285</v>
      </c>
      <c r="B84" s="108" t="s">
        <v>216</v>
      </c>
      <c r="C84" s="108" t="s">
        <v>224</v>
      </c>
      <c r="D84" s="108" t="s">
        <v>211</v>
      </c>
      <c r="E84" s="108" t="s">
        <v>291</v>
      </c>
      <c r="F84" s="108" t="s">
        <v>216</v>
      </c>
      <c r="G84" s="109"/>
      <c r="H84" s="113"/>
      <c r="I84" s="113"/>
      <c r="J84" s="113"/>
      <c r="K84" s="114"/>
      <c r="L84" s="113"/>
      <c r="M84" s="114"/>
      <c r="N84" s="115"/>
      <c r="O84" s="116"/>
      <c r="P84" s="116"/>
      <c r="Q84" s="116"/>
      <c r="R84" s="116">
        <v>463.706</v>
      </c>
      <c r="S84" s="116"/>
      <c r="T84" s="116"/>
      <c r="U84" s="116"/>
      <c r="V84" s="114">
        <f>R84</f>
        <v>463.706</v>
      </c>
      <c r="W84" s="104"/>
    </row>
    <row r="85" spans="1:23" ht="25.5">
      <c r="A85" s="117" t="s">
        <v>292</v>
      </c>
      <c r="B85" s="106"/>
      <c r="C85" s="106" t="s">
        <v>224</v>
      </c>
      <c r="D85" s="106" t="s">
        <v>217</v>
      </c>
      <c r="E85" s="106"/>
      <c r="F85" s="106"/>
      <c r="G85" s="39"/>
      <c r="H85" s="113"/>
      <c r="I85" s="113"/>
      <c r="J85" s="113"/>
      <c r="K85" s="114"/>
      <c r="L85" s="113"/>
      <c r="M85" s="114"/>
      <c r="N85" s="115"/>
      <c r="O85" s="116"/>
      <c r="P85" s="116"/>
      <c r="Q85" s="116"/>
      <c r="R85" s="116"/>
      <c r="S85" s="116"/>
      <c r="T85" s="116"/>
      <c r="U85" s="116"/>
      <c r="V85" s="114"/>
      <c r="W85" s="104"/>
    </row>
    <row r="86" spans="1:23" ht="25.5">
      <c r="A86" s="118" t="s">
        <v>293</v>
      </c>
      <c r="B86" s="108" t="s">
        <v>216</v>
      </c>
      <c r="C86" s="108" t="s">
        <v>224</v>
      </c>
      <c r="D86" s="108" t="s">
        <v>217</v>
      </c>
      <c r="E86" s="108" t="s">
        <v>294</v>
      </c>
      <c r="F86" s="108"/>
      <c r="G86" s="109"/>
      <c r="H86" s="113"/>
      <c r="I86" s="113"/>
      <c r="J86" s="113"/>
      <c r="K86" s="114"/>
      <c r="L86" s="113"/>
      <c r="M86" s="114"/>
      <c r="N86" s="115"/>
      <c r="O86" s="116"/>
      <c r="P86" s="116"/>
      <c r="Q86" s="116"/>
      <c r="R86" s="116"/>
      <c r="S86" s="116"/>
      <c r="T86" s="116"/>
      <c r="U86" s="116"/>
      <c r="V86" s="114"/>
      <c r="W86" s="104"/>
    </row>
    <row r="87" spans="1:23" ht="12.75">
      <c r="A87" s="107" t="s">
        <v>295</v>
      </c>
      <c r="B87" s="108" t="s">
        <v>216</v>
      </c>
      <c r="C87" s="108" t="s">
        <v>224</v>
      </c>
      <c r="D87" s="108" t="s">
        <v>217</v>
      </c>
      <c r="E87" s="108" t="s">
        <v>294</v>
      </c>
      <c r="F87" s="108" t="s">
        <v>296</v>
      </c>
      <c r="G87" s="109"/>
      <c r="H87" s="113"/>
      <c r="I87" s="113"/>
      <c r="J87" s="113"/>
      <c r="K87" s="114"/>
      <c r="L87" s="113"/>
      <c r="M87" s="114"/>
      <c r="N87" s="115"/>
      <c r="O87" s="116"/>
      <c r="P87" s="116"/>
      <c r="Q87" s="116"/>
      <c r="R87" s="116"/>
      <c r="S87" s="116"/>
      <c r="T87" s="116"/>
      <c r="U87" s="116"/>
      <c r="V87" s="114"/>
      <c r="W87" s="104"/>
    </row>
    <row r="88" spans="1:23" ht="25.5">
      <c r="A88" s="117" t="s">
        <v>297</v>
      </c>
      <c r="B88" s="106"/>
      <c r="C88" s="106" t="s">
        <v>224</v>
      </c>
      <c r="D88" s="106" t="s">
        <v>298</v>
      </c>
      <c r="E88" s="106"/>
      <c r="F88" s="106"/>
      <c r="G88" s="39">
        <f aca="true" t="shared" si="37" ref="G88:V88">G89</f>
        <v>300</v>
      </c>
      <c r="H88" s="39">
        <f t="shared" si="37"/>
        <v>0</v>
      </c>
      <c r="I88" s="39">
        <f t="shared" si="37"/>
        <v>0</v>
      </c>
      <c r="J88" s="39">
        <f t="shared" si="37"/>
        <v>0</v>
      </c>
      <c r="K88" s="101">
        <f t="shared" si="37"/>
        <v>0</v>
      </c>
      <c r="L88" s="39">
        <f t="shared" si="37"/>
        <v>0</v>
      </c>
      <c r="M88" s="101">
        <f t="shared" si="37"/>
        <v>0</v>
      </c>
      <c r="N88" s="102">
        <f t="shared" si="37"/>
        <v>0</v>
      </c>
      <c r="O88" s="103">
        <f t="shared" si="37"/>
        <v>0</v>
      </c>
      <c r="P88" s="103">
        <f t="shared" si="37"/>
        <v>0</v>
      </c>
      <c r="Q88" s="103">
        <f t="shared" si="37"/>
        <v>0</v>
      </c>
      <c r="R88" s="103">
        <f t="shared" si="37"/>
        <v>0</v>
      </c>
      <c r="S88" s="103">
        <f t="shared" si="37"/>
        <v>0</v>
      </c>
      <c r="T88" s="103">
        <f t="shared" si="37"/>
        <v>0</v>
      </c>
      <c r="U88" s="103">
        <f t="shared" si="37"/>
        <v>-300</v>
      </c>
      <c r="V88" s="101">
        <f t="shared" si="37"/>
        <v>0</v>
      </c>
      <c r="W88" s="104"/>
    </row>
    <row r="89" spans="1:23" ht="25.5">
      <c r="A89" s="118" t="s">
        <v>265</v>
      </c>
      <c r="B89" s="108" t="s">
        <v>216</v>
      </c>
      <c r="C89" s="108" t="s">
        <v>224</v>
      </c>
      <c r="D89" s="108" t="s">
        <v>298</v>
      </c>
      <c r="E89" s="108" t="s">
        <v>266</v>
      </c>
      <c r="F89" s="108"/>
      <c r="G89" s="109">
        <f aca="true" t="shared" si="38" ref="G89:U89">G90</f>
        <v>300</v>
      </c>
      <c r="H89" s="109">
        <f t="shared" si="38"/>
        <v>0</v>
      </c>
      <c r="I89" s="109">
        <f t="shared" si="38"/>
        <v>0</v>
      </c>
      <c r="J89" s="109">
        <f t="shared" si="38"/>
        <v>0</v>
      </c>
      <c r="K89" s="110">
        <f t="shared" si="38"/>
        <v>0</v>
      </c>
      <c r="L89" s="109">
        <f t="shared" si="38"/>
        <v>0</v>
      </c>
      <c r="M89" s="110">
        <f t="shared" si="38"/>
        <v>0</v>
      </c>
      <c r="N89" s="110">
        <f t="shared" si="38"/>
        <v>0</v>
      </c>
      <c r="O89" s="110">
        <f t="shared" si="38"/>
        <v>0</v>
      </c>
      <c r="P89" s="110">
        <f t="shared" si="38"/>
        <v>0</v>
      </c>
      <c r="Q89" s="110">
        <f t="shared" si="38"/>
        <v>0</v>
      </c>
      <c r="R89" s="110">
        <f t="shared" si="38"/>
        <v>0</v>
      </c>
      <c r="S89" s="110">
        <f t="shared" si="38"/>
        <v>0</v>
      </c>
      <c r="T89" s="110">
        <f t="shared" si="38"/>
        <v>0</v>
      </c>
      <c r="U89" s="110">
        <f t="shared" si="38"/>
        <v>-300</v>
      </c>
      <c r="V89" s="110">
        <f>V90</f>
        <v>0</v>
      </c>
      <c r="W89" s="104"/>
    </row>
    <row r="90" spans="1:23" ht="38.25">
      <c r="A90" s="118" t="s">
        <v>299</v>
      </c>
      <c r="B90" s="108" t="s">
        <v>216</v>
      </c>
      <c r="C90" s="108" t="s">
        <v>224</v>
      </c>
      <c r="D90" s="108" t="s">
        <v>298</v>
      </c>
      <c r="E90" s="108" t="s">
        <v>266</v>
      </c>
      <c r="F90" s="108" t="s">
        <v>300</v>
      </c>
      <c r="G90" s="109">
        <v>300</v>
      </c>
      <c r="H90" s="113"/>
      <c r="I90" s="113"/>
      <c r="J90" s="113"/>
      <c r="K90" s="114"/>
      <c r="L90" s="113"/>
      <c r="M90" s="114"/>
      <c r="N90" s="115"/>
      <c r="O90" s="116"/>
      <c r="P90" s="116"/>
      <c r="Q90" s="116"/>
      <c r="R90" s="116"/>
      <c r="S90" s="116"/>
      <c r="T90" s="116"/>
      <c r="U90" s="116">
        <v>-300</v>
      </c>
      <c r="V90" s="114">
        <f>G90+H90+I90+U90</f>
        <v>0</v>
      </c>
      <c r="W90" s="104"/>
    </row>
    <row r="91" spans="1:23" s="127" customFormat="1" ht="12.75">
      <c r="A91" s="117"/>
      <c r="B91" s="106"/>
      <c r="C91" s="106" t="s">
        <v>224</v>
      </c>
      <c r="D91" s="106" t="s">
        <v>301</v>
      </c>
      <c r="E91" s="106"/>
      <c r="F91" s="106"/>
      <c r="G91" s="39"/>
      <c r="H91" s="122"/>
      <c r="I91" s="122"/>
      <c r="J91" s="122"/>
      <c r="K91" s="123"/>
      <c r="L91" s="122"/>
      <c r="M91" s="123"/>
      <c r="N91" s="124">
        <f aca="true" t="shared" si="39" ref="N91:V91">N92</f>
        <v>3118.8</v>
      </c>
      <c r="O91" s="125">
        <f t="shared" si="39"/>
        <v>0</v>
      </c>
      <c r="P91" s="125">
        <f t="shared" si="39"/>
        <v>313.08115</v>
      </c>
      <c r="Q91" s="125">
        <f t="shared" si="39"/>
        <v>0</v>
      </c>
      <c r="R91" s="125">
        <f t="shared" si="39"/>
        <v>0</v>
      </c>
      <c r="S91" s="125">
        <f t="shared" si="39"/>
        <v>0</v>
      </c>
      <c r="T91" s="125">
        <f t="shared" si="39"/>
        <v>0</v>
      </c>
      <c r="U91" s="125"/>
      <c r="V91" s="125">
        <f t="shared" si="39"/>
        <v>3431.88115</v>
      </c>
      <c r="W91" s="126"/>
    </row>
    <row r="92" spans="1:23" ht="51">
      <c r="A92" s="128" t="s">
        <v>302</v>
      </c>
      <c r="B92" s="108" t="s">
        <v>216</v>
      </c>
      <c r="C92" s="108" t="s">
        <v>224</v>
      </c>
      <c r="D92" s="108" t="s">
        <v>301</v>
      </c>
      <c r="E92" s="108" t="s">
        <v>303</v>
      </c>
      <c r="F92" s="108"/>
      <c r="G92" s="109"/>
      <c r="H92" s="113"/>
      <c r="I92" s="113"/>
      <c r="J92" s="113"/>
      <c r="K92" s="114"/>
      <c r="L92" s="113"/>
      <c r="M92" s="114"/>
      <c r="N92" s="115">
        <f>N93</f>
        <v>3118.8</v>
      </c>
      <c r="O92" s="116">
        <f>O93</f>
        <v>0</v>
      </c>
      <c r="P92" s="116">
        <f>P93</f>
        <v>313.08115</v>
      </c>
      <c r="Q92" s="116"/>
      <c r="R92" s="116"/>
      <c r="S92" s="116"/>
      <c r="T92" s="116"/>
      <c r="U92" s="116"/>
      <c r="V92" s="116">
        <f>V93</f>
        <v>3431.88115</v>
      </c>
      <c r="W92" s="104"/>
    </row>
    <row r="93" spans="1:23" ht="12.75">
      <c r="A93" s="139" t="s">
        <v>178</v>
      </c>
      <c r="B93" s="108" t="s">
        <v>216</v>
      </c>
      <c r="C93" s="108" t="s">
        <v>224</v>
      </c>
      <c r="D93" s="108" t="s">
        <v>301</v>
      </c>
      <c r="E93" s="108" t="s">
        <v>303</v>
      </c>
      <c r="F93" s="108" t="s">
        <v>304</v>
      </c>
      <c r="G93" s="109"/>
      <c r="H93" s="113"/>
      <c r="I93" s="113"/>
      <c r="J93" s="113"/>
      <c r="K93" s="114"/>
      <c r="L93" s="113"/>
      <c r="M93" s="114"/>
      <c r="N93" s="115">
        <v>3118.8</v>
      </c>
      <c r="O93" s="116"/>
      <c r="P93" s="116">
        <v>313.08115</v>
      </c>
      <c r="Q93" s="116"/>
      <c r="R93" s="116"/>
      <c r="S93" s="116"/>
      <c r="T93" s="116"/>
      <c r="U93" s="116"/>
      <c r="V93" s="114">
        <f>N93+P93</f>
        <v>3431.88115</v>
      </c>
      <c r="W93" s="104"/>
    </row>
    <row r="94" spans="1:23" ht="12.75">
      <c r="A94" s="105" t="s">
        <v>305</v>
      </c>
      <c r="B94" s="106"/>
      <c r="C94" s="106" t="s">
        <v>224</v>
      </c>
      <c r="D94" s="106" t="s">
        <v>306</v>
      </c>
      <c r="E94" s="106"/>
      <c r="F94" s="106"/>
      <c r="G94" s="39">
        <f aca="true" t="shared" si="40" ref="G94:V94">G95+G97</f>
        <v>7000</v>
      </c>
      <c r="H94" s="39">
        <f t="shared" si="40"/>
        <v>0</v>
      </c>
      <c r="I94" s="39">
        <f t="shared" si="40"/>
        <v>-1000</v>
      </c>
      <c r="J94" s="39">
        <f t="shared" si="40"/>
        <v>0</v>
      </c>
      <c r="K94" s="101">
        <f t="shared" si="40"/>
        <v>1000</v>
      </c>
      <c r="L94" s="39">
        <f t="shared" si="40"/>
        <v>0</v>
      </c>
      <c r="M94" s="101">
        <f t="shared" si="40"/>
        <v>0</v>
      </c>
      <c r="N94" s="102">
        <f t="shared" si="40"/>
        <v>0</v>
      </c>
      <c r="O94" s="103">
        <f t="shared" si="40"/>
        <v>0</v>
      </c>
      <c r="P94" s="103">
        <f t="shared" si="40"/>
        <v>0</v>
      </c>
      <c r="Q94" s="103">
        <f t="shared" si="40"/>
        <v>0</v>
      </c>
      <c r="R94" s="103">
        <f t="shared" si="40"/>
        <v>0</v>
      </c>
      <c r="S94" s="103">
        <f t="shared" si="40"/>
        <v>0</v>
      </c>
      <c r="T94" s="103">
        <f t="shared" si="40"/>
        <v>0</v>
      </c>
      <c r="U94" s="103"/>
      <c r="V94" s="101">
        <f t="shared" si="40"/>
        <v>7000</v>
      </c>
      <c r="W94" s="104"/>
    </row>
    <row r="95" spans="1:23" ht="25.5">
      <c r="A95" s="107" t="s">
        <v>307</v>
      </c>
      <c r="B95" s="108" t="s">
        <v>216</v>
      </c>
      <c r="C95" s="108" t="s">
        <v>224</v>
      </c>
      <c r="D95" s="108" t="s">
        <v>306</v>
      </c>
      <c r="E95" s="108" t="s">
        <v>308</v>
      </c>
      <c r="F95" s="108"/>
      <c r="G95" s="109">
        <f aca="true" t="shared" si="41" ref="G95:M95">G96</f>
        <v>7000</v>
      </c>
      <c r="H95" s="109">
        <f t="shared" si="41"/>
        <v>0</v>
      </c>
      <c r="I95" s="109">
        <f t="shared" si="41"/>
        <v>-1000</v>
      </c>
      <c r="J95" s="109">
        <f t="shared" si="41"/>
        <v>0</v>
      </c>
      <c r="K95" s="110">
        <f t="shared" si="41"/>
        <v>1000</v>
      </c>
      <c r="L95" s="109">
        <f t="shared" si="41"/>
        <v>0</v>
      </c>
      <c r="M95" s="110">
        <f t="shared" si="41"/>
        <v>0</v>
      </c>
      <c r="N95" s="111"/>
      <c r="O95" s="112"/>
      <c r="P95" s="112"/>
      <c r="Q95" s="112"/>
      <c r="R95" s="112"/>
      <c r="S95" s="112"/>
      <c r="T95" s="112"/>
      <c r="U95" s="112"/>
      <c r="V95" s="110">
        <f>V96</f>
        <v>7000</v>
      </c>
      <c r="W95" s="104"/>
    </row>
    <row r="96" spans="1:23" ht="12.75">
      <c r="A96" s="107" t="s">
        <v>295</v>
      </c>
      <c r="B96" s="108" t="s">
        <v>216</v>
      </c>
      <c r="C96" s="108" t="s">
        <v>224</v>
      </c>
      <c r="D96" s="108" t="s">
        <v>306</v>
      </c>
      <c r="E96" s="108" t="s">
        <v>308</v>
      </c>
      <c r="F96" s="108" t="s">
        <v>296</v>
      </c>
      <c r="G96" s="109">
        <v>7000</v>
      </c>
      <c r="H96" s="113"/>
      <c r="I96" s="113">
        <v>-1000</v>
      </c>
      <c r="J96" s="113"/>
      <c r="K96" s="114">
        <v>1000</v>
      </c>
      <c r="L96" s="113"/>
      <c r="M96" s="114"/>
      <c r="N96" s="115"/>
      <c r="O96" s="116"/>
      <c r="P96" s="116"/>
      <c r="Q96" s="116"/>
      <c r="R96" s="116"/>
      <c r="S96" s="116"/>
      <c r="T96" s="116"/>
      <c r="U96" s="116"/>
      <c r="V96" s="116">
        <f>G96+H96+I96+K96</f>
        <v>7000</v>
      </c>
      <c r="W96" s="104"/>
    </row>
    <row r="97" spans="1:23" ht="25.5">
      <c r="A97" s="107" t="s">
        <v>307</v>
      </c>
      <c r="B97" s="108" t="s">
        <v>216</v>
      </c>
      <c r="C97" s="108" t="s">
        <v>224</v>
      </c>
      <c r="D97" s="108" t="s">
        <v>306</v>
      </c>
      <c r="E97" s="108" t="s">
        <v>308</v>
      </c>
      <c r="F97" s="108"/>
      <c r="G97" s="109">
        <f aca="true" t="shared" si="42" ref="G97:M97">G98</f>
        <v>0</v>
      </c>
      <c r="H97" s="109">
        <f t="shared" si="42"/>
        <v>0</v>
      </c>
      <c r="I97" s="109">
        <f t="shared" si="42"/>
        <v>0</v>
      </c>
      <c r="J97" s="109">
        <f t="shared" si="42"/>
        <v>0</v>
      </c>
      <c r="K97" s="110">
        <f t="shared" si="42"/>
        <v>0</v>
      </c>
      <c r="L97" s="109">
        <f t="shared" si="42"/>
        <v>0</v>
      </c>
      <c r="M97" s="110">
        <f t="shared" si="42"/>
        <v>0</v>
      </c>
      <c r="N97" s="111"/>
      <c r="O97" s="112"/>
      <c r="P97" s="112"/>
      <c r="Q97" s="112"/>
      <c r="R97" s="112"/>
      <c r="S97" s="112"/>
      <c r="T97" s="112"/>
      <c r="U97" s="112"/>
      <c r="V97" s="110">
        <f>V98</f>
        <v>0</v>
      </c>
      <c r="W97" s="104"/>
    </row>
    <row r="98" spans="1:23" ht="25.5">
      <c r="A98" s="107" t="s">
        <v>221</v>
      </c>
      <c r="B98" s="108" t="s">
        <v>216</v>
      </c>
      <c r="C98" s="108" t="s">
        <v>224</v>
      </c>
      <c r="D98" s="108" t="s">
        <v>306</v>
      </c>
      <c r="E98" s="108" t="s">
        <v>308</v>
      </c>
      <c r="F98" s="108" t="s">
        <v>229</v>
      </c>
      <c r="G98" s="109"/>
      <c r="H98" s="113"/>
      <c r="I98" s="113"/>
      <c r="J98" s="113"/>
      <c r="K98" s="114"/>
      <c r="L98" s="113"/>
      <c r="M98" s="114"/>
      <c r="N98" s="115"/>
      <c r="O98" s="116"/>
      <c r="P98" s="116"/>
      <c r="Q98" s="116"/>
      <c r="R98" s="116"/>
      <c r="S98" s="116"/>
      <c r="T98" s="116"/>
      <c r="U98" s="116"/>
      <c r="V98" s="114">
        <f>G98+H98+I98</f>
        <v>0</v>
      </c>
      <c r="W98" s="104"/>
    </row>
    <row r="99" spans="1:23" ht="12.75">
      <c r="A99" s="105" t="s">
        <v>309</v>
      </c>
      <c r="B99" s="106"/>
      <c r="C99" s="106" t="s">
        <v>224</v>
      </c>
      <c r="D99" s="106" t="s">
        <v>278</v>
      </c>
      <c r="E99" s="106"/>
      <c r="F99" s="106"/>
      <c r="G99" s="39">
        <f aca="true" t="shared" si="43" ref="G99:V99">G100</f>
        <v>20000</v>
      </c>
      <c r="H99" s="39">
        <f t="shared" si="43"/>
        <v>0</v>
      </c>
      <c r="I99" s="39">
        <f t="shared" si="43"/>
        <v>0</v>
      </c>
      <c r="J99" s="39">
        <f t="shared" si="43"/>
        <v>-1000</v>
      </c>
      <c r="K99" s="101">
        <f t="shared" si="43"/>
        <v>0</v>
      </c>
      <c r="L99" s="39">
        <f t="shared" si="43"/>
        <v>0</v>
      </c>
      <c r="M99" s="101">
        <f t="shared" si="43"/>
        <v>0</v>
      </c>
      <c r="N99" s="102">
        <f t="shared" si="43"/>
        <v>0</v>
      </c>
      <c r="O99" s="103">
        <f t="shared" si="43"/>
        <v>0</v>
      </c>
      <c r="P99" s="103">
        <f t="shared" si="43"/>
        <v>0</v>
      </c>
      <c r="Q99" s="103">
        <f t="shared" si="43"/>
        <v>0</v>
      </c>
      <c r="R99" s="103">
        <f t="shared" si="43"/>
        <v>0</v>
      </c>
      <c r="S99" s="103">
        <f t="shared" si="43"/>
        <v>0</v>
      </c>
      <c r="T99" s="103">
        <f t="shared" si="43"/>
        <v>0</v>
      </c>
      <c r="U99" s="103"/>
      <c r="V99" s="101">
        <f t="shared" si="43"/>
        <v>19000</v>
      </c>
      <c r="W99" s="104"/>
    </row>
    <row r="100" spans="1:23" ht="25.5">
      <c r="A100" s="107" t="s">
        <v>310</v>
      </c>
      <c r="B100" s="108" t="s">
        <v>216</v>
      </c>
      <c r="C100" s="108" t="s">
        <v>224</v>
      </c>
      <c r="D100" s="108" t="s">
        <v>278</v>
      </c>
      <c r="E100" s="108" t="s">
        <v>311</v>
      </c>
      <c r="F100" s="108"/>
      <c r="G100" s="109">
        <f aca="true" t="shared" si="44" ref="G100:M100">G101</f>
        <v>20000</v>
      </c>
      <c r="H100" s="109">
        <f t="shared" si="44"/>
        <v>0</v>
      </c>
      <c r="I100" s="109">
        <f t="shared" si="44"/>
        <v>0</v>
      </c>
      <c r="J100" s="109">
        <f t="shared" si="44"/>
        <v>-1000</v>
      </c>
      <c r="K100" s="110">
        <f t="shared" si="44"/>
        <v>0</v>
      </c>
      <c r="L100" s="109">
        <f t="shared" si="44"/>
        <v>0</v>
      </c>
      <c r="M100" s="110">
        <f t="shared" si="44"/>
        <v>0</v>
      </c>
      <c r="N100" s="111"/>
      <c r="O100" s="112"/>
      <c r="P100" s="112"/>
      <c r="Q100" s="112"/>
      <c r="R100" s="112"/>
      <c r="S100" s="112"/>
      <c r="T100" s="112"/>
      <c r="U100" s="112"/>
      <c r="V100" s="110">
        <f>V101</f>
        <v>19000</v>
      </c>
      <c r="W100" s="104"/>
    </row>
    <row r="101" spans="1:23" ht="25.5">
      <c r="A101" s="107" t="s">
        <v>221</v>
      </c>
      <c r="B101" s="108" t="s">
        <v>216</v>
      </c>
      <c r="C101" s="108" t="s">
        <v>224</v>
      </c>
      <c r="D101" s="108" t="s">
        <v>278</v>
      </c>
      <c r="E101" s="108" t="s">
        <v>311</v>
      </c>
      <c r="F101" s="108" t="s">
        <v>229</v>
      </c>
      <c r="G101" s="109">
        <v>20000</v>
      </c>
      <c r="H101" s="113"/>
      <c r="I101" s="113"/>
      <c r="J101" s="113">
        <v>-1000</v>
      </c>
      <c r="K101" s="114"/>
      <c r="L101" s="113"/>
      <c r="M101" s="114"/>
      <c r="N101" s="115"/>
      <c r="O101" s="116"/>
      <c r="P101" s="116"/>
      <c r="Q101" s="116"/>
      <c r="R101" s="116"/>
      <c r="S101" s="116"/>
      <c r="T101" s="116"/>
      <c r="U101" s="116"/>
      <c r="V101" s="116">
        <f>G101+H101+I101+J101</f>
        <v>19000</v>
      </c>
      <c r="W101" s="104"/>
    </row>
    <row r="102" spans="1:23" ht="25.5">
      <c r="A102" s="117" t="s">
        <v>312</v>
      </c>
      <c r="B102" s="106"/>
      <c r="C102" s="106" t="s">
        <v>224</v>
      </c>
      <c r="D102" s="106" t="s">
        <v>241</v>
      </c>
      <c r="E102" s="106"/>
      <c r="F102" s="106"/>
      <c r="G102" s="39">
        <f>G109+G117+G105+G107</f>
        <v>16885.2</v>
      </c>
      <c r="H102" s="39">
        <f>H109+H117+H105+H107</f>
        <v>3289.9</v>
      </c>
      <c r="I102" s="39">
        <f>I109+I117+I105+I107</f>
        <v>0</v>
      </c>
      <c r="J102" s="39">
        <f>J109+J117+J105+J107</f>
        <v>200</v>
      </c>
      <c r="K102" s="101">
        <f>K109+K117+K105+K107</f>
        <v>-14999.9</v>
      </c>
      <c r="L102" s="39">
        <f>L103+L105+L107+L109+L111+L115</f>
        <v>4881.6</v>
      </c>
      <c r="M102" s="101">
        <f>M103+M105+M107+M109+M111+M115</f>
        <v>-750</v>
      </c>
      <c r="N102" s="102">
        <f>N103+N105+N107+N109+N111+N115</f>
        <v>750</v>
      </c>
      <c r="O102" s="103">
        <f>O103+O105+O107+O109+O111+O115</f>
        <v>200</v>
      </c>
      <c r="P102" s="103">
        <f>P103+P105+P107+P109</f>
        <v>700</v>
      </c>
      <c r="Q102" s="103">
        <f>Q103+Q105+Q107+Q109</f>
        <v>0</v>
      </c>
      <c r="R102" s="103">
        <f>R103+R105+R107+R109</f>
        <v>0</v>
      </c>
      <c r="S102" s="103">
        <f>S103+S105+S107+S109+S117+S119+S111+S113</f>
        <v>0</v>
      </c>
      <c r="T102" s="103">
        <f>T103+T105+T107+T109+T117+T119+T111+T113</f>
        <v>500</v>
      </c>
      <c r="U102" s="103">
        <f>U103+U105+U107+U109+U117+U119+U111+U113</f>
        <v>0</v>
      </c>
      <c r="V102" s="103">
        <f>V103+V105+V107+V109+V117+V119+V111+V115+V113</f>
        <v>11656.8</v>
      </c>
      <c r="W102" s="104"/>
    </row>
    <row r="103" spans="1:23" ht="51">
      <c r="A103" s="128" t="s">
        <v>313</v>
      </c>
      <c r="B103" s="108" t="s">
        <v>216</v>
      </c>
      <c r="C103" s="108" t="s">
        <v>224</v>
      </c>
      <c r="D103" s="108" t="s">
        <v>241</v>
      </c>
      <c r="E103" s="108" t="s">
        <v>314</v>
      </c>
      <c r="F103" s="108"/>
      <c r="G103" s="39"/>
      <c r="H103" s="39"/>
      <c r="I103" s="39"/>
      <c r="J103" s="39"/>
      <c r="K103" s="101"/>
      <c r="L103" s="109">
        <f>L104</f>
        <v>100</v>
      </c>
      <c r="M103" s="110">
        <f>M104</f>
        <v>0</v>
      </c>
      <c r="N103" s="111"/>
      <c r="O103" s="112"/>
      <c r="P103" s="112">
        <f>P104</f>
        <v>250</v>
      </c>
      <c r="Q103" s="112"/>
      <c r="R103" s="112"/>
      <c r="S103" s="112"/>
      <c r="T103" s="112"/>
      <c r="U103" s="112"/>
      <c r="V103" s="110">
        <f>V104</f>
        <v>350</v>
      </c>
      <c r="W103" s="104"/>
    </row>
    <row r="104" spans="1:23" ht="25.5">
      <c r="A104" s="107" t="s">
        <v>253</v>
      </c>
      <c r="B104" s="108" t="s">
        <v>216</v>
      </c>
      <c r="C104" s="108" t="s">
        <v>224</v>
      </c>
      <c r="D104" s="108" t="s">
        <v>241</v>
      </c>
      <c r="E104" s="108" t="s">
        <v>314</v>
      </c>
      <c r="F104" s="108" t="s">
        <v>254</v>
      </c>
      <c r="G104" s="39"/>
      <c r="H104" s="39"/>
      <c r="I104" s="39"/>
      <c r="J104" s="39"/>
      <c r="K104" s="101"/>
      <c r="L104" s="109">
        <v>100</v>
      </c>
      <c r="M104" s="110"/>
      <c r="N104" s="111"/>
      <c r="O104" s="112"/>
      <c r="P104" s="112">
        <v>250</v>
      </c>
      <c r="Q104" s="112"/>
      <c r="R104" s="112"/>
      <c r="S104" s="112"/>
      <c r="T104" s="112"/>
      <c r="U104" s="112"/>
      <c r="V104" s="110">
        <f>L104+P104</f>
        <v>350</v>
      </c>
      <c r="W104" s="104"/>
    </row>
    <row r="105" spans="1:23" ht="25.5">
      <c r="A105" s="138" t="s">
        <v>251</v>
      </c>
      <c r="B105" s="108" t="s">
        <v>216</v>
      </c>
      <c r="C105" s="108" t="s">
        <v>224</v>
      </c>
      <c r="D105" s="108" t="s">
        <v>241</v>
      </c>
      <c r="E105" s="108" t="s">
        <v>315</v>
      </c>
      <c r="F105" s="108"/>
      <c r="G105" s="109">
        <f aca="true" t="shared" si="45" ref="G105:M105">G106</f>
        <v>3205.2</v>
      </c>
      <c r="H105" s="109">
        <f t="shared" si="45"/>
        <v>120</v>
      </c>
      <c r="I105" s="109">
        <f t="shared" si="45"/>
        <v>0</v>
      </c>
      <c r="J105" s="109">
        <f t="shared" si="45"/>
        <v>0</v>
      </c>
      <c r="K105" s="110">
        <f t="shared" si="45"/>
        <v>0</v>
      </c>
      <c r="L105" s="109">
        <f t="shared" si="45"/>
        <v>400</v>
      </c>
      <c r="M105" s="110">
        <f t="shared" si="45"/>
        <v>0</v>
      </c>
      <c r="N105" s="111"/>
      <c r="O105" s="112"/>
      <c r="P105" s="112">
        <f>P106</f>
        <v>0</v>
      </c>
      <c r="Q105" s="112"/>
      <c r="R105" s="112"/>
      <c r="S105" s="112"/>
      <c r="T105" s="112"/>
      <c r="U105" s="112"/>
      <c r="V105" s="110">
        <f>V106</f>
        <v>3725.2</v>
      </c>
      <c r="W105" s="104"/>
    </row>
    <row r="106" spans="1:23" ht="25.5">
      <c r="A106" s="107" t="s">
        <v>253</v>
      </c>
      <c r="B106" s="108" t="s">
        <v>216</v>
      </c>
      <c r="C106" s="108" t="s">
        <v>224</v>
      </c>
      <c r="D106" s="108" t="s">
        <v>241</v>
      </c>
      <c r="E106" s="108" t="s">
        <v>315</v>
      </c>
      <c r="F106" s="108" t="s">
        <v>254</v>
      </c>
      <c r="G106" s="109">
        <f>3205.2</f>
        <v>3205.2</v>
      </c>
      <c r="H106" s="113">
        <v>120</v>
      </c>
      <c r="I106" s="113"/>
      <c r="J106" s="113"/>
      <c r="K106" s="114"/>
      <c r="L106" s="113">
        <v>400</v>
      </c>
      <c r="M106" s="114"/>
      <c r="N106" s="115"/>
      <c r="O106" s="116"/>
      <c r="P106" s="116"/>
      <c r="Q106" s="116"/>
      <c r="R106" s="116"/>
      <c r="S106" s="116"/>
      <c r="T106" s="116"/>
      <c r="U106" s="116"/>
      <c r="V106" s="114">
        <f>G106+H106+I106+J106+L106+P106</f>
        <v>3725.2</v>
      </c>
      <c r="W106" s="104"/>
    </row>
    <row r="107" spans="1:23" ht="25.5">
      <c r="A107" s="138" t="s">
        <v>251</v>
      </c>
      <c r="B107" s="108" t="s">
        <v>216</v>
      </c>
      <c r="C107" s="108" t="s">
        <v>224</v>
      </c>
      <c r="D107" s="108" t="s">
        <v>241</v>
      </c>
      <c r="E107" s="108" t="s">
        <v>252</v>
      </c>
      <c r="F107" s="108"/>
      <c r="G107" s="109">
        <f aca="true" t="shared" si="46" ref="G107:M107">G108</f>
        <v>12830</v>
      </c>
      <c r="H107" s="109">
        <f t="shared" si="46"/>
        <v>2169.9</v>
      </c>
      <c r="I107" s="109">
        <f t="shared" si="46"/>
        <v>0</v>
      </c>
      <c r="J107" s="109">
        <f t="shared" si="46"/>
        <v>0</v>
      </c>
      <c r="K107" s="110">
        <f t="shared" si="46"/>
        <v>-14999.9</v>
      </c>
      <c r="L107" s="109">
        <f t="shared" si="46"/>
        <v>0</v>
      </c>
      <c r="M107" s="110">
        <f t="shared" si="46"/>
        <v>0</v>
      </c>
      <c r="N107" s="111"/>
      <c r="O107" s="112"/>
      <c r="P107" s="112"/>
      <c r="Q107" s="112"/>
      <c r="R107" s="112"/>
      <c r="S107" s="112"/>
      <c r="T107" s="112"/>
      <c r="U107" s="112"/>
      <c r="V107" s="110">
        <f>V108</f>
        <v>0</v>
      </c>
      <c r="W107" s="104"/>
    </row>
    <row r="108" spans="1:23" ht="25.5">
      <c r="A108" s="107" t="s">
        <v>253</v>
      </c>
      <c r="B108" s="108" t="s">
        <v>216</v>
      </c>
      <c r="C108" s="108" t="s">
        <v>224</v>
      </c>
      <c r="D108" s="108" t="s">
        <v>241</v>
      </c>
      <c r="E108" s="108" t="s">
        <v>252</v>
      </c>
      <c r="F108" s="108" t="s">
        <v>254</v>
      </c>
      <c r="G108" s="109">
        <v>12830</v>
      </c>
      <c r="H108" s="113">
        <v>2169.9</v>
      </c>
      <c r="I108" s="113"/>
      <c r="J108" s="113"/>
      <c r="K108" s="114">
        <v>-14999.9</v>
      </c>
      <c r="L108" s="113"/>
      <c r="M108" s="114"/>
      <c r="N108" s="115"/>
      <c r="O108" s="116"/>
      <c r="P108" s="116"/>
      <c r="Q108" s="116"/>
      <c r="R108" s="116"/>
      <c r="S108" s="116"/>
      <c r="T108" s="116"/>
      <c r="U108" s="116"/>
      <c r="V108" s="114">
        <f>G108+H108+I108+K108</f>
        <v>0</v>
      </c>
      <c r="W108" s="104"/>
    </row>
    <row r="109" spans="1:23" ht="25.5">
      <c r="A109" s="107" t="s">
        <v>316</v>
      </c>
      <c r="B109" s="108" t="s">
        <v>216</v>
      </c>
      <c r="C109" s="108" t="s">
        <v>224</v>
      </c>
      <c r="D109" s="108">
        <v>12</v>
      </c>
      <c r="E109" s="108" t="s">
        <v>317</v>
      </c>
      <c r="F109" s="108"/>
      <c r="G109" s="109">
        <f aca="true" t="shared" si="47" ref="G109:P109">G110</f>
        <v>750</v>
      </c>
      <c r="H109" s="109">
        <f t="shared" si="47"/>
        <v>0</v>
      </c>
      <c r="I109" s="109">
        <f t="shared" si="47"/>
        <v>0</v>
      </c>
      <c r="J109" s="109">
        <f t="shared" si="47"/>
        <v>200</v>
      </c>
      <c r="K109" s="110">
        <f t="shared" si="47"/>
        <v>0</v>
      </c>
      <c r="L109" s="109">
        <f t="shared" si="47"/>
        <v>100</v>
      </c>
      <c r="M109" s="110">
        <f t="shared" si="47"/>
        <v>-750</v>
      </c>
      <c r="N109" s="111">
        <f t="shared" si="47"/>
        <v>750</v>
      </c>
      <c r="O109" s="112">
        <f t="shared" si="47"/>
        <v>200</v>
      </c>
      <c r="P109" s="112">
        <f t="shared" si="47"/>
        <v>450</v>
      </c>
      <c r="Q109" s="112"/>
      <c r="R109" s="112"/>
      <c r="S109" s="112"/>
      <c r="T109" s="112"/>
      <c r="U109" s="112"/>
      <c r="V109" s="110">
        <f>V110</f>
        <v>1700</v>
      </c>
      <c r="W109" s="104"/>
    </row>
    <row r="110" spans="1:23" ht="25.5">
      <c r="A110" s="107" t="s">
        <v>221</v>
      </c>
      <c r="B110" s="108" t="s">
        <v>216</v>
      </c>
      <c r="C110" s="108" t="s">
        <v>224</v>
      </c>
      <c r="D110" s="108">
        <v>12</v>
      </c>
      <c r="E110" s="108" t="s">
        <v>317</v>
      </c>
      <c r="F110" s="108">
        <v>500</v>
      </c>
      <c r="G110" s="109">
        <v>750</v>
      </c>
      <c r="H110" s="113"/>
      <c r="I110" s="113"/>
      <c r="J110" s="113">
        <v>200</v>
      </c>
      <c r="K110" s="114"/>
      <c r="L110" s="113">
        <v>100</v>
      </c>
      <c r="M110" s="114">
        <v>-750</v>
      </c>
      <c r="N110" s="115">
        <v>750</v>
      </c>
      <c r="O110" s="116">
        <f>200</f>
        <v>200</v>
      </c>
      <c r="P110" s="116">
        <v>450</v>
      </c>
      <c r="Q110" s="116"/>
      <c r="R110" s="116"/>
      <c r="S110" s="116"/>
      <c r="T110" s="116"/>
      <c r="U110" s="116"/>
      <c r="V110" s="114">
        <f>G110+H110+I110+M110+L110+J110+O110+N110+P110</f>
        <v>1700</v>
      </c>
      <c r="W110" s="104"/>
    </row>
    <row r="111" spans="1:23" ht="38.25">
      <c r="A111" s="128" t="s">
        <v>318</v>
      </c>
      <c r="B111" s="108" t="s">
        <v>216</v>
      </c>
      <c r="C111" s="108" t="s">
        <v>224</v>
      </c>
      <c r="D111" s="108" t="s">
        <v>241</v>
      </c>
      <c r="E111" s="108" t="s">
        <v>319</v>
      </c>
      <c r="F111" s="108"/>
      <c r="G111" s="109"/>
      <c r="H111" s="113"/>
      <c r="I111" s="113"/>
      <c r="J111" s="113"/>
      <c r="K111" s="114"/>
      <c r="L111" s="113">
        <f>L112</f>
        <v>771.6</v>
      </c>
      <c r="M111" s="114"/>
      <c r="N111" s="115"/>
      <c r="O111" s="116"/>
      <c r="P111" s="116"/>
      <c r="Q111" s="116"/>
      <c r="R111" s="116"/>
      <c r="S111" s="116">
        <f>S112</f>
        <v>-53</v>
      </c>
      <c r="T111" s="116">
        <f>T112</f>
        <v>500</v>
      </c>
      <c r="U111" s="116">
        <f>U112</f>
        <v>-12.15</v>
      </c>
      <c r="V111" s="114">
        <f>V112</f>
        <v>1206.4499999999998</v>
      </c>
      <c r="W111" s="104"/>
    </row>
    <row r="112" spans="1:23" ht="12.75">
      <c r="A112" s="107" t="s">
        <v>295</v>
      </c>
      <c r="B112" s="108" t="s">
        <v>216</v>
      </c>
      <c r="C112" s="108" t="s">
        <v>224</v>
      </c>
      <c r="D112" s="108" t="s">
        <v>241</v>
      </c>
      <c r="E112" s="108" t="s">
        <v>319</v>
      </c>
      <c r="F112" s="108" t="s">
        <v>296</v>
      </c>
      <c r="G112" s="109"/>
      <c r="H112" s="113"/>
      <c r="I112" s="113"/>
      <c r="J112" s="113"/>
      <c r="K112" s="114"/>
      <c r="L112" s="113">
        <v>771.6</v>
      </c>
      <c r="M112" s="114"/>
      <c r="N112" s="115"/>
      <c r="O112" s="116"/>
      <c r="P112" s="116"/>
      <c r="Q112" s="116"/>
      <c r="R112" s="116"/>
      <c r="S112" s="116">
        <f>-31.2-21.8</f>
        <v>-53</v>
      </c>
      <c r="T112" s="116">
        <v>500</v>
      </c>
      <c r="U112" s="116">
        <v>-12.15</v>
      </c>
      <c r="V112" s="141">
        <f>L112+S112+T112+U112</f>
        <v>1206.4499999999998</v>
      </c>
      <c r="W112" s="104"/>
    </row>
    <row r="113" spans="1:23" ht="38.25">
      <c r="A113" s="128" t="s">
        <v>318</v>
      </c>
      <c r="B113" s="108" t="s">
        <v>216</v>
      </c>
      <c r="C113" s="108" t="s">
        <v>224</v>
      </c>
      <c r="D113" s="108" t="s">
        <v>241</v>
      </c>
      <c r="E113" s="108" t="s">
        <v>319</v>
      </c>
      <c r="F113" s="108"/>
      <c r="G113" s="109"/>
      <c r="H113" s="113"/>
      <c r="I113" s="113"/>
      <c r="J113" s="113"/>
      <c r="K113" s="114"/>
      <c r="L113" s="113"/>
      <c r="M113" s="114"/>
      <c r="N113" s="115"/>
      <c r="O113" s="116"/>
      <c r="P113" s="116"/>
      <c r="Q113" s="116"/>
      <c r="R113" s="116"/>
      <c r="S113" s="116">
        <f>S114</f>
        <v>53</v>
      </c>
      <c r="T113" s="116">
        <f>T114</f>
        <v>0</v>
      </c>
      <c r="U113" s="116">
        <f>U114</f>
        <v>12.15</v>
      </c>
      <c r="V113" s="116">
        <f>V114</f>
        <v>65.15</v>
      </c>
      <c r="W113" s="104"/>
    </row>
    <row r="114" spans="1:23" ht="25.5">
      <c r="A114" s="107" t="s">
        <v>221</v>
      </c>
      <c r="B114" s="108" t="s">
        <v>216</v>
      </c>
      <c r="C114" s="108" t="s">
        <v>224</v>
      </c>
      <c r="D114" s="108" t="s">
        <v>241</v>
      </c>
      <c r="E114" s="108" t="s">
        <v>319</v>
      </c>
      <c r="F114" s="108" t="s">
        <v>229</v>
      </c>
      <c r="G114" s="109"/>
      <c r="H114" s="113"/>
      <c r="I114" s="113"/>
      <c r="J114" s="113"/>
      <c r="K114" s="114"/>
      <c r="L114" s="113"/>
      <c r="M114" s="114"/>
      <c r="N114" s="115"/>
      <c r="O114" s="116"/>
      <c r="P114" s="116"/>
      <c r="Q114" s="116"/>
      <c r="R114" s="116"/>
      <c r="S114" s="116">
        <f>31.2+21.8</f>
        <v>53</v>
      </c>
      <c r="T114" s="116"/>
      <c r="U114" s="116">
        <v>12.15</v>
      </c>
      <c r="V114" s="114">
        <f>S114+U114</f>
        <v>65.15</v>
      </c>
      <c r="W114" s="104"/>
    </row>
    <row r="115" spans="1:23" ht="51">
      <c r="A115" s="128" t="s">
        <v>320</v>
      </c>
      <c r="B115" s="108" t="s">
        <v>216</v>
      </c>
      <c r="C115" s="108" t="s">
        <v>224</v>
      </c>
      <c r="D115" s="108" t="s">
        <v>241</v>
      </c>
      <c r="E115" s="108" t="s">
        <v>321</v>
      </c>
      <c r="F115" s="108"/>
      <c r="G115" s="109"/>
      <c r="H115" s="113"/>
      <c r="I115" s="113"/>
      <c r="J115" s="113"/>
      <c r="K115" s="114"/>
      <c r="L115" s="113">
        <f>L116</f>
        <v>3510</v>
      </c>
      <c r="M115" s="114"/>
      <c r="N115" s="115"/>
      <c r="O115" s="116"/>
      <c r="P115" s="116"/>
      <c r="Q115" s="116"/>
      <c r="R115" s="116"/>
      <c r="S115" s="116"/>
      <c r="T115" s="116"/>
      <c r="U115" s="116"/>
      <c r="V115" s="114">
        <f>V116</f>
        <v>3510</v>
      </c>
      <c r="W115" s="104"/>
    </row>
    <row r="116" spans="1:23" ht="12.75">
      <c r="A116" s="139" t="s">
        <v>285</v>
      </c>
      <c r="B116" s="108" t="s">
        <v>216</v>
      </c>
      <c r="C116" s="108" t="s">
        <v>224</v>
      </c>
      <c r="D116" s="108" t="s">
        <v>241</v>
      </c>
      <c r="E116" s="108" t="s">
        <v>321</v>
      </c>
      <c r="F116" s="108" t="s">
        <v>216</v>
      </c>
      <c r="G116" s="109"/>
      <c r="H116" s="113"/>
      <c r="I116" s="113"/>
      <c r="J116" s="113"/>
      <c r="K116" s="114"/>
      <c r="L116" s="113">
        <v>3510</v>
      </c>
      <c r="M116" s="114"/>
      <c r="N116" s="115"/>
      <c r="O116" s="116"/>
      <c r="P116" s="116"/>
      <c r="Q116" s="116"/>
      <c r="R116" s="116"/>
      <c r="S116" s="116"/>
      <c r="T116" s="116"/>
      <c r="U116" s="116"/>
      <c r="V116" s="114">
        <f>L116</f>
        <v>3510</v>
      </c>
      <c r="W116" s="104"/>
    </row>
    <row r="117" spans="1:23" ht="25.5">
      <c r="A117" s="118" t="s">
        <v>265</v>
      </c>
      <c r="B117" s="108" t="s">
        <v>216</v>
      </c>
      <c r="C117" s="108" t="s">
        <v>224</v>
      </c>
      <c r="D117" s="108" t="s">
        <v>241</v>
      </c>
      <c r="E117" s="108" t="s">
        <v>266</v>
      </c>
      <c r="F117" s="108"/>
      <c r="G117" s="109">
        <f aca="true" t="shared" si="48" ref="G117:M117">G118</f>
        <v>100</v>
      </c>
      <c r="H117" s="109">
        <f t="shared" si="48"/>
        <v>1000</v>
      </c>
      <c r="I117" s="109">
        <f t="shared" si="48"/>
        <v>0</v>
      </c>
      <c r="J117" s="109">
        <f t="shared" si="48"/>
        <v>0</v>
      </c>
      <c r="K117" s="110">
        <f t="shared" si="48"/>
        <v>0</v>
      </c>
      <c r="L117" s="109">
        <f t="shared" si="48"/>
        <v>0</v>
      </c>
      <c r="M117" s="110">
        <f t="shared" si="48"/>
        <v>0</v>
      </c>
      <c r="N117" s="111"/>
      <c r="O117" s="112"/>
      <c r="P117" s="112"/>
      <c r="Q117" s="112"/>
      <c r="R117" s="112"/>
      <c r="S117" s="112">
        <f>S118</f>
        <v>-705.652</v>
      </c>
      <c r="T117" s="112">
        <f>T118</f>
        <v>0</v>
      </c>
      <c r="U117" s="112">
        <f>U118</f>
        <v>-72.015</v>
      </c>
      <c r="V117" s="110">
        <f>V118</f>
        <v>322.33299999999997</v>
      </c>
      <c r="W117" s="104"/>
    </row>
    <row r="118" spans="1:23" ht="25.5">
      <c r="A118" s="107" t="s">
        <v>221</v>
      </c>
      <c r="B118" s="108" t="s">
        <v>216</v>
      </c>
      <c r="C118" s="108" t="s">
        <v>224</v>
      </c>
      <c r="D118" s="108" t="s">
        <v>241</v>
      </c>
      <c r="E118" s="108" t="s">
        <v>266</v>
      </c>
      <c r="F118" s="108" t="s">
        <v>229</v>
      </c>
      <c r="G118" s="109">
        <v>100</v>
      </c>
      <c r="H118" s="113">
        <v>1000</v>
      </c>
      <c r="I118" s="113"/>
      <c r="J118" s="113"/>
      <c r="K118" s="114"/>
      <c r="L118" s="113"/>
      <c r="M118" s="114"/>
      <c r="N118" s="115"/>
      <c r="O118" s="116"/>
      <c r="P118" s="116"/>
      <c r="Q118" s="116"/>
      <c r="R118" s="116"/>
      <c r="S118" s="116">
        <v>-705.652</v>
      </c>
      <c r="T118" s="116"/>
      <c r="U118" s="116">
        <v>-72.015</v>
      </c>
      <c r="V118" s="114">
        <f>G118+H118+I118+S118+U118</f>
        <v>322.33299999999997</v>
      </c>
      <c r="W118" s="104"/>
    </row>
    <row r="119" spans="1:23" ht="25.5">
      <c r="A119" s="118" t="s">
        <v>265</v>
      </c>
      <c r="B119" s="108" t="s">
        <v>216</v>
      </c>
      <c r="C119" s="108" t="s">
        <v>224</v>
      </c>
      <c r="D119" s="108" t="s">
        <v>241</v>
      </c>
      <c r="E119" s="108" t="s">
        <v>266</v>
      </c>
      <c r="F119" s="108"/>
      <c r="G119" s="109"/>
      <c r="H119" s="113"/>
      <c r="I119" s="113"/>
      <c r="J119" s="113"/>
      <c r="K119" s="114"/>
      <c r="L119" s="113"/>
      <c r="M119" s="114"/>
      <c r="N119" s="115"/>
      <c r="O119" s="116"/>
      <c r="P119" s="116"/>
      <c r="Q119" s="116"/>
      <c r="R119" s="116"/>
      <c r="S119" s="116">
        <f>S120</f>
        <v>705.652</v>
      </c>
      <c r="T119" s="116">
        <f>T120</f>
        <v>0</v>
      </c>
      <c r="U119" s="116">
        <f>U120</f>
        <v>72.015</v>
      </c>
      <c r="V119" s="116">
        <f>V120</f>
        <v>777.667</v>
      </c>
      <c r="W119" s="104"/>
    </row>
    <row r="120" spans="1:23" ht="12.75">
      <c r="A120" s="107" t="s">
        <v>295</v>
      </c>
      <c r="B120" s="108" t="s">
        <v>216</v>
      </c>
      <c r="C120" s="108" t="s">
        <v>224</v>
      </c>
      <c r="D120" s="108" t="s">
        <v>241</v>
      </c>
      <c r="E120" s="108" t="s">
        <v>266</v>
      </c>
      <c r="F120" s="108" t="s">
        <v>296</v>
      </c>
      <c r="G120" s="109"/>
      <c r="H120" s="113"/>
      <c r="I120" s="113"/>
      <c r="J120" s="113"/>
      <c r="K120" s="114"/>
      <c r="L120" s="113"/>
      <c r="M120" s="114"/>
      <c r="N120" s="115"/>
      <c r="O120" s="116"/>
      <c r="P120" s="116"/>
      <c r="Q120" s="116"/>
      <c r="R120" s="116"/>
      <c r="S120" s="116">
        <v>705.652</v>
      </c>
      <c r="T120" s="116"/>
      <c r="U120" s="116">
        <v>72.015</v>
      </c>
      <c r="V120" s="114">
        <f>S120+U120</f>
        <v>777.667</v>
      </c>
      <c r="W120" s="104"/>
    </row>
    <row r="121" spans="1:23" ht="25.5">
      <c r="A121" s="142" t="s">
        <v>322</v>
      </c>
      <c r="B121" s="106"/>
      <c r="C121" s="106" t="s">
        <v>298</v>
      </c>
      <c r="D121" s="108"/>
      <c r="E121" s="108"/>
      <c r="F121" s="108"/>
      <c r="G121" s="39">
        <f>G128+G123+G126</f>
        <v>0</v>
      </c>
      <c r="H121" s="39">
        <f aca="true" t="shared" si="49" ref="H121:U121">H128+H123+H126</f>
        <v>0</v>
      </c>
      <c r="I121" s="39">
        <f t="shared" si="49"/>
        <v>0</v>
      </c>
      <c r="J121" s="39">
        <f t="shared" si="49"/>
        <v>6868.4</v>
      </c>
      <c r="K121" s="39">
        <f t="shared" si="49"/>
        <v>0</v>
      </c>
      <c r="L121" s="39">
        <f t="shared" si="49"/>
        <v>-474.04</v>
      </c>
      <c r="M121" s="39">
        <f t="shared" si="49"/>
        <v>0</v>
      </c>
      <c r="N121" s="39">
        <f t="shared" si="49"/>
        <v>0</v>
      </c>
      <c r="O121" s="39">
        <f t="shared" si="49"/>
        <v>0</v>
      </c>
      <c r="P121" s="39">
        <f t="shared" si="49"/>
        <v>2433.508</v>
      </c>
      <c r="Q121" s="39">
        <f t="shared" si="49"/>
        <v>0</v>
      </c>
      <c r="R121" s="39">
        <f t="shared" si="49"/>
        <v>0</v>
      </c>
      <c r="S121" s="39">
        <f t="shared" si="49"/>
        <v>0</v>
      </c>
      <c r="T121" s="39">
        <f t="shared" si="49"/>
        <v>-133.44723</v>
      </c>
      <c r="U121" s="39">
        <f t="shared" si="49"/>
        <v>0</v>
      </c>
      <c r="V121" s="101">
        <f>V128+V122</f>
        <v>8694.42077</v>
      </c>
      <c r="W121" s="104"/>
    </row>
    <row r="122" spans="1:23" ht="12.75">
      <c r="A122" s="143" t="s">
        <v>323</v>
      </c>
      <c r="B122" s="106"/>
      <c r="C122" s="106" t="s">
        <v>298</v>
      </c>
      <c r="D122" s="108" t="s">
        <v>211</v>
      </c>
      <c r="E122" s="108"/>
      <c r="F122" s="108"/>
      <c r="G122" s="39"/>
      <c r="H122" s="39"/>
      <c r="I122" s="39"/>
      <c r="J122" s="39">
        <f aca="true" t="shared" si="50" ref="J122:M123">J123</f>
        <v>4739</v>
      </c>
      <c r="K122" s="101">
        <f t="shared" si="50"/>
        <v>0</v>
      </c>
      <c r="L122" s="39">
        <f t="shared" si="50"/>
        <v>-474.04</v>
      </c>
      <c r="M122" s="101">
        <f t="shared" si="50"/>
        <v>0</v>
      </c>
      <c r="N122" s="102"/>
      <c r="O122" s="103"/>
      <c r="P122" s="103">
        <f>P123</f>
        <v>2433.508</v>
      </c>
      <c r="Q122" s="103"/>
      <c r="R122" s="103"/>
      <c r="S122" s="103"/>
      <c r="T122" s="103"/>
      <c r="U122" s="103"/>
      <c r="V122" s="101">
        <f>V123+V125</f>
        <v>6723.468</v>
      </c>
      <c r="W122" s="104"/>
    </row>
    <row r="123" spans="1:23" ht="38.25">
      <c r="A123" s="128" t="s">
        <v>324</v>
      </c>
      <c r="B123" s="108" t="s">
        <v>325</v>
      </c>
      <c r="C123" s="108" t="s">
        <v>298</v>
      </c>
      <c r="D123" s="108" t="s">
        <v>211</v>
      </c>
      <c r="E123" s="108" t="s">
        <v>326</v>
      </c>
      <c r="F123" s="108"/>
      <c r="G123" s="109"/>
      <c r="H123" s="109"/>
      <c r="I123" s="109"/>
      <c r="J123" s="109">
        <f t="shared" si="50"/>
        <v>4739</v>
      </c>
      <c r="K123" s="110">
        <f t="shared" si="50"/>
        <v>0</v>
      </c>
      <c r="L123" s="109">
        <f t="shared" si="50"/>
        <v>-474.04</v>
      </c>
      <c r="M123" s="110">
        <f t="shared" si="50"/>
        <v>0</v>
      </c>
      <c r="N123" s="111"/>
      <c r="O123" s="112"/>
      <c r="P123" s="112">
        <f>P124</f>
        <v>2433.508</v>
      </c>
      <c r="Q123" s="112"/>
      <c r="R123" s="112"/>
      <c r="S123" s="112"/>
      <c r="T123" s="112"/>
      <c r="U123" s="112"/>
      <c r="V123" s="110">
        <f>V124</f>
        <v>6698.468</v>
      </c>
      <c r="W123" s="104"/>
    </row>
    <row r="124" spans="1:23" ht="12.75">
      <c r="A124" s="139" t="s">
        <v>285</v>
      </c>
      <c r="B124" s="108" t="s">
        <v>325</v>
      </c>
      <c r="C124" s="108" t="s">
        <v>298</v>
      </c>
      <c r="D124" s="108" t="s">
        <v>211</v>
      </c>
      <c r="E124" s="108" t="s">
        <v>326</v>
      </c>
      <c r="F124" s="108" t="s">
        <v>216</v>
      </c>
      <c r="G124" s="109"/>
      <c r="H124" s="109"/>
      <c r="I124" s="109"/>
      <c r="J124" s="109">
        <v>4739</v>
      </c>
      <c r="K124" s="110"/>
      <c r="L124" s="109">
        <v>-474.04</v>
      </c>
      <c r="M124" s="110"/>
      <c r="N124" s="111"/>
      <c r="O124" s="112"/>
      <c r="P124" s="112">
        <v>2433.508</v>
      </c>
      <c r="Q124" s="112"/>
      <c r="R124" s="112"/>
      <c r="S124" s="112"/>
      <c r="T124" s="112"/>
      <c r="U124" s="112"/>
      <c r="V124" s="110">
        <f>J124+L124+P124</f>
        <v>6698.468</v>
      </c>
      <c r="W124" s="104"/>
    </row>
    <row r="125" spans="1:23" ht="12.75">
      <c r="A125" s="139"/>
      <c r="B125" s="108"/>
      <c r="C125" s="108" t="s">
        <v>298</v>
      </c>
      <c r="D125" s="108" t="s">
        <v>268</v>
      </c>
      <c r="E125" s="108"/>
      <c r="F125" s="108"/>
      <c r="G125" s="109"/>
      <c r="H125" s="109"/>
      <c r="I125" s="109"/>
      <c r="J125" s="109"/>
      <c r="K125" s="110"/>
      <c r="L125" s="109"/>
      <c r="M125" s="110"/>
      <c r="N125" s="111"/>
      <c r="O125" s="112"/>
      <c r="P125" s="112"/>
      <c r="Q125" s="112"/>
      <c r="R125" s="112"/>
      <c r="S125" s="112"/>
      <c r="T125" s="112">
        <f aca="true" t="shared" si="51" ref="T125:V126">T126</f>
        <v>25</v>
      </c>
      <c r="U125" s="112">
        <f t="shared" si="51"/>
        <v>0</v>
      </c>
      <c r="V125" s="112">
        <f t="shared" si="51"/>
        <v>25</v>
      </c>
      <c r="W125" s="104"/>
    </row>
    <row r="126" spans="1:23" ht="63.75">
      <c r="A126" s="140" t="s">
        <v>521</v>
      </c>
      <c r="B126" s="108" t="s">
        <v>216</v>
      </c>
      <c r="C126" s="108" t="s">
        <v>298</v>
      </c>
      <c r="D126" s="108" t="s">
        <v>268</v>
      </c>
      <c r="E126" s="108" t="s">
        <v>520</v>
      </c>
      <c r="F126" s="108"/>
      <c r="G126" s="109"/>
      <c r="H126" s="109"/>
      <c r="I126" s="109"/>
      <c r="J126" s="109"/>
      <c r="K126" s="110"/>
      <c r="L126" s="109"/>
      <c r="M126" s="110"/>
      <c r="N126" s="111"/>
      <c r="O126" s="112"/>
      <c r="P126" s="112"/>
      <c r="Q126" s="112"/>
      <c r="R126" s="112"/>
      <c r="S126" s="112"/>
      <c r="T126" s="112">
        <f t="shared" si="51"/>
        <v>25</v>
      </c>
      <c r="U126" s="112">
        <f t="shared" si="51"/>
        <v>0</v>
      </c>
      <c r="V126" s="112">
        <f t="shared" si="51"/>
        <v>25</v>
      </c>
      <c r="W126" s="104"/>
    </row>
    <row r="127" spans="1:23" ht="25.5">
      <c r="A127" s="107" t="s">
        <v>221</v>
      </c>
      <c r="B127" s="108" t="s">
        <v>216</v>
      </c>
      <c r="C127" s="108" t="s">
        <v>298</v>
      </c>
      <c r="D127" s="108" t="s">
        <v>268</v>
      </c>
      <c r="E127" s="108" t="s">
        <v>520</v>
      </c>
      <c r="F127" s="108" t="s">
        <v>229</v>
      </c>
      <c r="G127" s="109"/>
      <c r="H127" s="109"/>
      <c r="I127" s="109"/>
      <c r="J127" s="109"/>
      <c r="K127" s="110"/>
      <c r="L127" s="109"/>
      <c r="M127" s="110"/>
      <c r="N127" s="111"/>
      <c r="O127" s="112"/>
      <c r="P127" s="112"/>
      <c r="Q127" s="112"/>
      <c r="R127" s="112"/>
      <c r="S127" s="112"/>
      <c r="T127" s="112">
        <v>25</v>
      </c>
      <c r="U127" s="112"/>
      <c r="V127" s="110">
        <f>T127</f>
        <v>25</v>
      </c>
      <c r="W127" s="104"/>
    </row>
    <row r="128" spans="1:23" ht="38.25">
      <c r="A128" s="142" t="s">
        <v>327</v>
      </c>
      <c r="B128" s="106"/>
      <c r="C128" s="106" t="s">
        <v>298</v>
      </c>
      <c r="D128" s="106" t="s">
        <v>298</v>
      </c>
      <c r="E128" s="106"/>
      <c r="F128" s="106"/>
      <c r="G128" s="39">
        <f aca="true" t="shared" si="52" ref="G128:V129">G129</f>
        <v>0</v>
      </c>
      <c r="H128" s="39">
        <f t="shared" si="52"/>
        <v>0</v>
      </c>
      <c r="I128" s="39">
        <f t="shared" si="52"/>
        <v>0</v>
      </c>
      <c r="J128" s="39">
        <f t="shared" si="52"/>
        <v>2129.4</v>
      </c>
      <c r="K128" s="101">
        <f t="shared" si="52"/>
        <v>0</v>
      </c>
      <c r="L128" s="39">
        <f t="shared" si="52"/>
        <v>0</v>
      </c>
      <c r="M128" s="101">
        <f t="shared" si="52"/>
        <v>0</v>
      </c>
      <c r="N128" s="39">
        <f t="shared" si="52"/>
        <v>0</v>
      </c>
      <c r="O128" s="39">
        <f t="shared" si="52"/>
        <v>0</v>
      </c>
      <c r="P128" s="101">
        <f t="shared" si="52"/>
        <v>0</v>
      </c>
      <c r="Q128" s="101">
        <f t="shared" si="52"/>
        <v>0</v>
      </c>
      <c r="R128" s="39">
        <f t="shared" si="52"/>
        <v>0</v>
      </c>
      <c r="S128" s="39">
        <f t="shared" si="52"/>
        <v>0</v>
      </c>
      <c r="T128" s="39">
        <f t="shared" si="52"/>
        <v>-158.44723</v>
      </c>
      <c r="U128" s="39"/>
      <c r="V128" s="101">
        <f t="shared" si="52"/>
        <v>1970.95277</v>
      </c>
      <c r="W128" s="104"/>
    </row>
    <row r="129" spans="1:23" ht="51">
      <c r="A129" s="137" t="s">
        <v>328</v>
      </c>
      <c r="B129" s="108" t="s">
        <v>216</v>
      </c>
      <c r="C129" s="108" t="s">
        <v>298</v>
      </c>
      <c r="D129" s="108" t="s">
        <v>298</v>
      </c>
      <c r="E129" s="108" t="s">
        <v>329</v>
      </c>
      <c r="F129" s="108"/>
      <c r="G129" s="109">
        <f>G130</f>
        <v>0</v>
      </c>
      <c r="H129" s="113"/>
      <c r="I129" s="113"/>
      <c r="J129" s="113">
        <f>J130</f>
        <v>2129.4</v>
      </c>
      <c r="K129" s="114">
        <f>K130</f>
        <v>0</v>
      </c>
      <c r="L129" s="113">
        <f>L130</f>
        <v>0</v>
      </c>
      <c r="M129" s="114">
        <f>M130</f>
        <v>0</v>
      </c>
      <c r="N129" s="114">
        <f t="shared" si="52"/>
        <v>0</v>
      </c>
      <c r="O129" s="114">
        <f t="shared" si="52"/>
        <v>0</v>
      </c>
      <c r="P129" s="114">
        <f t="shared" si="52"/>
        <v>0</v>
      </c>
      <c r="Q129" s="114">
        <f t="shared" si="52"/>
        <v>0</v>
      </c>
      <c r="R129" s="114">
        <f t="shared" si="52"/>
        <v>0</v>
      </c>
      <c r="S129" s="114">
        <f t="shared" si="52"/>
        <v>0</v>
      </c>
      <c r="T129" s="114">
        <f>T130</f>
        <v>-158.44723</v>
      </c>
      <c r="U129" s="114"/>
      <c r="V129" s="114">
        <f>V130</f>
        <v>1970.95277</v>
      </c>
      <c r="W129" s="104"/>
    </row>
    <row r="130" spans="1:23" ht="25.5">
      <c r="A130" s="107" t="s">
        <v>253</v>
      </c>
      <c r="B130" s="108" t="s">
        <v>216</v>
      </c>
      <c r="C130" s="108" t="s">
        <v>298</v>
      </c>
      <c r="D130" s="108" t="s">
        <v>298</v>
      </c>
      <c r="E130" s="108" t="s">
        <v>329</v>
      </c>
      <c r="F130" s="108" t="s">
        <v>254</v>
      </c>
      <c r="G130" s="109"/>
      <c r="H130" s="113"/>
      <c r="I130" s="113"/>
      <c r="J130" s="113">
        <v>2129.4</v>
      </c>
      <c r="K130" s="114"/>
      <c r="L130" s="113"/>
      <c r="M130" s="114"/>
      <c r="N130" s="115"/>
      <c r="O130" s="116"/>
      <c r="P130" s="116"/>
      <c r="Q130" s="116"/>
      <c r="R130" s="116"/>
      <c r="S130" s="116"/>
      <c r="T130" s="116">
        <v>-158.44723</v>
      </c>
      <c r="U130" s="116"/>
      <c r="V130" s="114">
        <f>J130+K130+T130</f>
        <v>1970.95277</v>
      </c>
      <c r="W130" s="104"/>
    </row>
    <row r="131" spans="1:23" ht="12.75">
      <c r="A131" s="117" t="s">
        <v>330</v>
      </c>
      <c r="B131" s="106"/>
      <c r="C131" s="106" t="s">
        <v>231</v>
      </c>
      <c r="D131" s="106"/>
      <c r="E131" s="106"/>
      <c r="F131" s="106"/>
      <c r="G131" s="39">
        <f aca="true" t="shared" si="53" ref="G131:V132">G132</f>
        <v>100</v>
      </c>
      <c r="H131" s="39">
        <f t="shared" si="53"/>
        <v>0</v>
      </c>
      <c r="I131" s="39">
        <f t="shared" si="53"/>
        <v>0</v>
      </c>
      <c r="J131" s="39">
        <f t="shared" si="53"/>
        <v>0</v>
      </c>
      <c r="K131" s="101">
        <f t="shared" si="53"/>
        <v>0</v>
      </c>
      <c r="L131" s="39">
        <f t="shared" si="53"/>
        <v>0</v>
      </c>
      <c r="M131" s="101">
        <f t="shared" si="53"/>
        <v>0</v>
      </c>
      <c r="N131" s="39">
        <f t="shared" si="53"/>
        <v>0</v>
      </c>
      <c r="O131" s="39">
        <f t="shared" si="53"/>
        <v>0</v>
      </c>
      <c r="P131" s="101">
        <f t="shared" si="53"/>
        <v>0</v>
      </c>
      <c r="Q131" s="101">
        <f t="shared" si="53"/>
        <v>0</v>
      </c>
      <c r="R131" s="39">
        <f t="shared" si="53"/>
        <v>0</v>
      </c>
      <c r="S131" s="39">
        <f t="shared" si="53"/>
        <v>0</v>
      </c>
      <c r="T131" s="39">
        <f t="shared" si="53"/>
        <v>0</v>
      </c>
      <c r="U131" s="39">
        <f t="shared" si="53"/>
        <v>0</v>
      </c>
      <c r="V131" s="101">
        <f t="shared" si="53"/>
        <v>100</v>
      </c>
      <c r="W131" s="104"/>
    </row>
    <row r="132" spans="1:23" ht="25.5">
      <c r="A132" s="117" t="s">
        <v>331</v>
      </c>
      <c r="B132" s="106"/>
      <c r="C132" s="106" t="s">
        <v>231</v>
      </c>
      <c r="D132" s="106" t="s">
        <v>298</v>
      </c>
      <c r="E132" s="106"/>
      <c r="F132" s="106"/>
      <c r="G132" s="39">
        <f t="shared" si="53"/>
        <v>100</v>
      </c>
      <c r="H132" s="39">
        <f t="shared" si="53"/>
        <v>0</v>
      </c>
      <c r="I132" s="39">
        <f t="shared" si="53"/>
        <v>0</v>
      </c>
      <c r="J132" s="39">
        <f t="shared" si="53"/>
        <v>0</v>
      </c>
      <c r="K132" s="101">
        <f t="shared" si="53"/>
        <v>0</v>
      </c>
      <c r="L132" s="39">
        <f t="shared" si="53"/>
        <v>0</v>
      </c>
      <c r="M132" s="101">
        <f t="shared" si="53"/>
        <v>0</v>
      </c>
      <c r="N132" s="39">
        <f t="shared" si="53"/>
        <v>0</v>
      </c>
      <c r="O132" s="39">
        <f t="shared" si="53"/>
        <v>0</v>
      </c>
      <c r="P132" s="101">
        <f t="shared" si="53"/>
        <v>0</v>
      </c>
      <c r="Q132" s="101">
        <f t="shared" si="53"/>
        <v>0</v>
      </c>
      <c r="R132" s="39">
        <f t="shared" si="53"/>
        <v>0</v>
      </c>
      <c r="S132" s="39">
        <f t="shared" si="53"/>
        <v>0</v>
      </c>
      <c r="T132" s="39">
        <f t="shared" si="53"/>
        <v>0</v>
      </c>
      <c r="U132" s="39">
        <f t="shared" si="53"/>
        <v>0</v>
      </c>
      <c r="V132" s="101">
        <f t="shared" si="53"/>
        <v>100</v>
      </c>
      <c r="W132" s="104"/>
    </row>
    <row r="133" spans="1:23" ht="25.5">
      <c r="A133" s="118" t="s">
        <v>265</v>
      </c>
      <c r="B133" s="108" t="s">
        <v>216</v>
      </c>
      <c r="C133" s="108" t="s">
        <v>231</v>
      </c>
      <c r="D133" s="108" t="s">
        <v>298</v>
      </c>
      <c r="E133" s="108" t="s">
        <v>266</v>
      </c>
      <c r="F133" s="108"/>
      <c r="G133" s="109">
        <f aca="true" t="shared" si="54" ref="G133:U133">G134</f>
        <v>100</v>
      </c>
      <c r="H133" s="109">
        <f t="shared" si="54"/>
        <v>0</v>
      </c>
      <c r="I133" s="109">
        <f t="shared" si="54"/>
        <v>0</v>
      </c>
      <c r="J133" s="109">
        <f t="shared" si="54"/>
        <v>0</v>
      </c>
      <c r="K133" s="110">
        <f t="shared" si="54"/>
        <v>0</v>
      </c>
      <c r="L133" s="109">
        <f t="shared" si="54"/>
        <v>0</v>
      </c>
      <c r="M133" s="110">
        <f t="shared" si="54"/>
        <v>0</v>
      </c>
      <c r="N133" s="110">
        <f t="shared" si="54"/>
        <v>0</v>
      </c>
      <c r="O133" s="110">
        <f t="shared" si="54"/>
        <v>0</v>
      </c>
      <c r="P133" s="110">
        <f t="shared" si="54"/>
        <v>0</v>
      </c>
      <c r="Q133" s="110">
        <f t="shared" si="54"/>
        <v>0</v>
      </c>
      <c r="R133" s="110">
        <f t="shared" si="54"/>
        <v>0</v>
      </c>
      <c r="S133" s="110">
        <f t="shared" si="54"/>
        <v>0</v>
      </c>
      <c r="T133" s="110">
        <f t="shared" si="54"/>
        <v>0</v>
      </c>
      <c r="U133" s="110">
        <f t="shared" si="54"/>
        <v>0</v>
      </c>
      <c r="V133" s="110">
        <f>V134</f>
        <v>100</v>
      </c>
      <c r="W133" s="104"/>
    </row>
    <row r="134" spans="1:23" ht="12.75">
      <c r="A134" s="118" t="s">
        <v>332</v>
      </c>
      <c r="B134" s="108" t="s">
        <v>216</v>
      </c>
      <c r="C134" s="108" t="s">
        <v>231</v>
      </c>
      <c r="D134" s="108" t="s">
        <v>298</v>
      </c>
      <c r="E134" s="108" t="s">
        <v>266</v>
      </c>
      <c r="F134" s="108" t="s">
        <v>333</v>
      </c>
      <c r="G134" s="109">
        <v>100</v>
      </c>
      <c r="H134" s="113"/>
      <c r="I134" s="113"/>
      <c r="J134" s="113"/>
      <c r="K134" s="114"/>
      <c r="L134" s="113"/>
      <c r="M134" s="114"/>
      <c r="N134" s="115"/>
      <c r="O134" s="116"/>
      <c r="P134" s="116"/>
      <c r="Q134" s="116"/>
      <c r="R134" s="116"/>
      <c r="S134" s="116"/>
      <c r="T134" s="116"/>
      <c r="U134" s="116"/>
      <c r="V134" s="114">
        <f>G134+H134+I134</f>
        <v>100</v>
      </c>
      <c r="W134" s="104"/>
    </row>
    <row r="135" spans="1:23" ht="12.75">
      <c r="A135" s="105" t="s">
        <v>334</v>
      </c>
      <c r="B135" s="106"/>
      <c r="C135" s="106" t="s">
        <v>301</v>
      </c>
      <c r="D135" s="106"/>
      <c r="E135" s="106"/>
      <c r="F135" s="106"/>
      <c r="G135" s="39">
        <f aca="true" t="shared" si="55" ref="G135:V135">G136+G150+G184+G200</f>
        <v>1012420.2</v>
      </c>
      <c r="H135" s="39">
        <f t="shared" si="55"/>
        <v>17116.199999999997</v>
      </c>
      <c r="I135" s="39">
        <f t="shared" si="55"/>
        <v>617.3</v>
      </c>
      <c r="J135" s="39">
        <f t="shared" si="55"/>
        <v>16600</v>
      </c>
      <c r="K135" s="101">
        <f t="shared" si="55"/>
        <v>75.00000000000006</v>
      </c>
      <c r="L135" s="39">
        <f t="shared" si="55"/>
        <v>-34516.85406</v>
      </c>
      <c r="M135" s="101">
        <f t="shared" si="55"/>
        <v>0</v>
      </c>
      <c r="N135" s="102">
        <f t="shared" si="55"/>
        <v>10897</v>
      </c>
      <c r="O135" s="103">
        <f t="shared" si="55"/>
        <v>-80.00000000000003</v>
      </c>
      <c r="P135" s="103">
        <f t="shared" si="55"/>
        <v>5231</v>
      </c>
      <c r="Q135" s="103">
        <f t="shared" si="55"/>
        <v>250</v>
      </c>
      <c r="R135" s="103">
        <f t="shared" si="55"/>
        <v>7437.8</v>
      </c>
      <c r="S135" s="103">
        <f t="shared" si="55"/>
        <v>188.44882000000007</v>
      </c>
      <c r="T135" s="103">
        <f t="shared" si="55"/>
        <v>1180.7</v>
      </c>
      <c r="U135" s="103">
        <f t="shared" si="55"/>
        <v>0</v>
      </c>
      <c r="V135" s="101">
        <f t="shared" si="55"/>
        <v>1037666.79476</v>
      </c>
      <c r="W135" s="104"/>
    </row>
    <row r="136" spans="1:23" s="127" customFormat="1" ht="14.25" customHeight="1">
      <c r="A136" s="105" t="s">
        <v>335</v>
      </c>
      <c r="B136" s="106"/>
      <c r="C136" s="106" t="s">
        <v>301</v>
      </c>
      <c r="D136" s="106" t="s">
        <v>211</v>
      </c>
      <c r="E136" s="106"/>
      <c r="F136" s="106"/>
      <c r="G136" s="39">
        <f>G141+G137</f>
        <v>211456.6</v>
      </c>
      <c r="H136" s="39">
        <f>H141+H137</f>
        <v>4524.8</v>
      </c>
      <c r="I136" s="39">
        <f>I141+I137</f>
        <v>0</v>
      </c>
      <c r="J136" s="39">
        <f>J141+J137</f>
        <v>0</v>
      </c>
      <c r="K136" s="101">
        <f>K141+K137</f>
        <v>18.4508</v>
      </c>
      <c r="L136" s="39">
        <f>L141+L137+L146</f>
        <v>640.0075899999999</v>
      </c>
      <c r="M136" s="101">
        <f>M141+M137+M146</f>
        <v>0</v>
      </c>
      <c r="N136" s="102">
        <f>N141+N137+N146+N148+N139</f>
        <v>8550</v>
      </c>
      <c r="O136" s="103">
        <f>O141+O137+O146+O148+O139</f>
        <v>41.68846</v>
      </c>
      <c r="P136" s="103">
        <f>P137+P139+P141+P146+P148</f>
        <v>951</v>
      </c>
      <c r="Q136" s="103">
        <f>Q137+Q139+Q141+Q146+Q148</f>
        <v>0</v>
      </c>
      <c r="R136" s="103">
        <f>R137+R139+R141+R146+R148</f>
        <v>0</v>
      </c>
      <c r="S136" s="103">
        <f>S137+S139+S141+S146+S148+S144</f>
        <v>188.44882000000007</v>
      </c>
      <c r="T136" s="103">
        <f>T137+T139+T141+T146+T148+T144</f>
        <v>0</v>
      </c>
      <c r="U136" s="103">
        <f>U137+U139+U141+U146+U148+U144</f>
        <v>60</v>
      </c>
      <c r="V136" s="101">
        <f>V141+V137+V146+V148+V139+V144</f>
        <v>226430.99567</v>
      </c>
      <c r="W136" s="126"/>
    </row>
    <row r="137" spans="1:23" ht="14.25" customHeight="1">
      <c r="A137" s="144" t="s">
        <v>336</v>
      </c>
      <c r="B137" s="145" t="s">
        <v>216</v>
      </c>
      <c r="C137" s="145" t="s">
        <v>301</v>
      </c>
      <c r="D137" s="145" t="s">
        <v>211</v>
      </c>
      <c r="E137" s="145" t="s">
        <v>337</v>
      </c>
      <c r="F137" s="145"/>
      <c r="G137" s="109"/>
      <c r="H137" s="109">
        <f aca="true" t="shared" si="56" ref="H137:M137">H138</f>
        <v>500</v>
      </c>
      <c r="I137" s="109">
        <f t="shared" si="56"/>
        <v>0</v>
      </c>
      <c r="J137" s="109">
        <f t="shared" si="56"/>
        <v>0</v>
      </c>
      <c r="K137" s="110">
        <f t="shared" si="56"/>
        <v>0</v>
      </c>
      <c r="L137" s="109">
        <f t="shared" si="56"/>
        <v>0</v>
      </c>
      <c r="M137" s="110">
        <f t="shared" si="56"/>
        <v>0</v>
      </c>
      <c r="N137" s="111"/>
      <c r="O137" s="112"/>
      <c r="P137" s="112"/>
      <c r="Q137" s="112"/>
      <c r="R137" s="112"/>
      <c r="S137" s="112"/>
      <c r="T137" s="112"/>
      <c r="U137" s="112"/>
      <c r="V137" s="110">
        <f>V138</f>
        <v>500</v>
      </c>
      <c r="W137" s="104"/>
    </row>
    <row r="138" spans="1:23" ht="14.25" customHeight="1">
      <c r="A138" s="146" t="s">
        <v>338</v>
      </c>
      <c r="B138" s="145" t="s">
        <v>216</v>
      </c>
      <c r="C138" s="145" t="s">
        <v>301</v>
      </c>
      <c r="D138" s="145" t="s">
        <v>211</v>
      </c>
      <c r="E138" s="145" t="s">
        <v>337</v>
      </c>
      <c r="F138" s="145" t="s">
        <v>339</v>
      </c>
      <c r="G138" s="109"/>
      <c r="H138" s="109">
        <v>500</v>
      </c>
      <c r="I138" s="109"/>
      <c r="J138" s="109"/>
      <c r="K138" s="110"/>
      <c r="L138" s="109"/>
      <c r="M138" s="110"/>
      <c r="N138" s="111"/>
      <c r="O138" s="112"/>
      <c r="P138" s="112"/>
      <c r="Q138" s="112"/>
      <c r="R138" s="112"/>
      <c r="S138" s="112"/>
      <c r="T138" s="112"/>
      <c r="U138" s="112"/>
      <c r="V138" s="110">
        <f>G138+H138+I138</f>
        <v>500</v>
      </c>
      <c r="W138" s="104"/>
    </row>
    <row r="139" spans="1:23" ht="14.25" customHeight="1">
      <c r="A139" s="144" t="s">
        <v>336</v>
      </c>
      <c r="B139" s="145" t="s">
        <v>216</v>
      </c>
      <c r="C139" s="145" t="s">
        <v>301</v>
      </c>
      <c r="D139" s="145" t="s">
        <v>211</v>
      </c>
      <c r="E139" s="145" t="s">
        <v>337</v>
      </c>
      <c r="F139" s="145"/>
      <c r="G139" s="109"/>
      <c r="H139" s="109"/>
      <c r="I139" s="109"/>
      <c r="J139" s="109"/>
      <c r="K139" s="110"/>
      <c r="L139" s="109"/>
      <c r="M139" s="110"/>
      <c r="N139" s="111">
        <f>N140</f>
        <v>7000</v>
      </c>
      <c r="O139" s="112">
        <f>O140</f>
        <v>0</v>
      </c>
      <c r="P139" s="112"/>
      <c r="Q139" s="112"/>
      <c r="R139" s="112"/>
      <c r="S139" s="112"/>
      <c r="T139" s="112"/>
      <c r="U139" s="112"/>
      <c r="V139" s="112">
        <f>V140</f>
        <v>7000</v>
      </c>
      <c r="W139" s="104"/>
    </row>
    <row r="140" spans="1:23" ht="14.25" customHeight="1">
      <c r="A140" s="139" t="s">
        <v>340</v>
      </c>
      <c r="B140" s="145" t="s">
        <v>216</v>
      </c>
      <c r="C140" s="145" t="s">
        <v>301</v>
      </c>
      <c r="D140" s="145" t="s">
        <v>211</v>
      </c>
      <c r="E140" s="145" t="s">
        <v>337</v>
      </c>
      <c r="F140" s="145" t="s">
        <v>341</v>
      </c>
      <c r="G140" s="109"/>
      <c r="H140" s="109"/>
      <c r="I140" s="109"/>
      <c r="J140" s="109"/>
      <c r="K140" s="110"/>
      <c r="L140" s="109"/>
      <c r="M140" s="110"/>
      <c r="N140" s="111">
        <v>7000</v>
      </c>
      <c r="O140" s="112"/>
      <c r="P140" s="112"/>
      <c r="Q140" s="112"/>
      <c r="R140" s="112"/>
      <c r="S140" s="112"/>
      <c r="T140" s="112"/>
      <c r="U140" s="112"/>
      <c r="V140" s="110">
        <f>N140</f>
        <v>7000</v>
      </c>
      <c r="W140" s="104"/>
    </row>
    <row r="141" spans="1:23" ht="12.75">
      <c r="A141" s="147" t="s">
        <v>342</v>
      </c>
      <c r="B141" s="108" t="s">
        <v>216</v>
      </c>
      <c r="C141" s="108" t="s">
        <v>301</v>
      </c>
      <c r="D141" s="108" t="s">
        <v>211</v>
      </c>
      <c r="E141" s="108" t="s">
        <v>343</v>
      </c>
      <c r="F141" s="108"/>
      <c r="G141" s="109">
        <f aca="true" t="shared" si="57" ref="G141:P142">G142</f>
        <v>211456.6</v>
      </c>
      <c r="H141" s="109">
        <f t="shared" si="57"/>
        <v>4024.8</v>
      </c>
      <c r="I141" s="109">
        <f t="shared" si="57"/>
        <v>0</v>
      </c>
      <c r="J141" s="109">
        <f t="shared" si="57"/>
        <v>0</v>
      </c>
      <c r="K141" s="110">
        <f t="shared" si="57"/>
        <v>18.4508</v>
      </c>
      <c r="L141" s="109">
        <f t="shared" si="57"/>
        <v>275</v>
      </c>
      <c r="M141" s="110">
        <f t="shared" si="57"/>
        <v>0</v>
      </c>
      <c r="N141" s="111">
        <f t="shared" si="57"/>
        <v>550</v>
      </c>
      <c r="O141" s="112">
        <f t="shared" si="57"/>
        <v>41.68846</v>
      </c>
      <c r="P141" s="112">
        <f t="shared" si="57"/>
        <v>951</v>
      </c>
      <c r="Q141" s="112"/>
      <c r="R141" s="112"/>
      <c r="S141" s="112">
        <f aca="true" t="shared" si="58" ref="S141:V142">S142</f>
        <v>-2966.54932</v>
      </c>
      <c r="T141" s="112">
        <f t="shared" si="58"/>
        <v>0</v>
      </c>
      <c r="U141" s="112">
        <f t="shared" si="58"/>
        <v>60</v>
      </c>
      <c r="V141" s="110">
        <f t="shared" si="58"/>
        <v>214410.98994</v>
      </c>
      <c r="W141" s="104"/>
    </row>
    <row r="142" spans="1:23" ht="25.5">
      <c r="A142" s="107" t="s">
        <v>251</v>
      </c>
      <c r="B142" s="108" t="s">
        <v>216</v>
      </c>
      <c r="C142" s="108" t="s">
        <v>301</v>
      </c>
      <c r="D142" s="108" t="s">
        <v>211</v>
      </c>
      <c r="E142" s="108" t="s">
        <v>344</v>
      </c>
      <c r="F142" s="108"/>
      <c r="G142" s="109">
        <f t="shared" si="57"/>
        <v>211456.6</v>
      </c>
      <c r="H142" s="109">
        <f t="shared" si="57"/>
        <v>4024.8</v>
      </c>
      <c r="I142" s="109">
        <f t="shared" si="57"/>
        <v>0</v>
      </c>
      <c r="J142" s="109">
        <f t="shared" si="57"/>
        <v>0</v>
      </c>
      <c r="K142" s="110">
        <f t="shared" si="57"/>
        <v>18.4508</v>
      </c>
      <c r="L142" s="109">
        <f t="shared" si="57"/>
        <v>275</v>
      </c>
      <c r="M142" s="110">
        <f t="shared" si="57"/>
        <v>0</v>
      </c>
      <c r="N142" s="111">
        <f t="shared" si="57"/>
        <v>550</v>
      </c>
      <c r="O142" s="112">
        <f t="shared" si="57"/>
        <v>41.68846</v>
      </c>
      <c r="P142" s="112">
        <f t="shared" si="57"/>
        <v>951</v>
      </c>
      <c r="Q142" s="112"/>
      <c r="R142" s="112"/>
      <c r="S142" s="112">
        <f t="shared" si="58"/>
        <v>-2966.54932</v>
      </c>
      <c r="T142" s="112">
        <f t="shared" si="58"/>
        <v>0</v>
      </c>
      <c r="U142" s="112">
        <f t="shared" si="58"/>
        <v>60</v>
      </c>
      <c r="V142" s="110">
        <f t="shared" si="58"/>
        <v>214410.98994</v>
      </c>
      <c r="W142" s="104"/>
    </row>
    <row r="143" spans="1:23" ht="25.5">
      <c r="A143" s="107" t="s">
        <v>253</v>
      </c>
      <c r="B143" s="108" t="s">
        <v>216</v>
      </c>
      <c r="C143" s="108" t="s">
        <v>301</v>
      </c>
      <c r="D143" s="108" t="s">
        <v>211</v>
      </c>
      <c r="E143" s="108" t="s">
        <v>344</v>
      </c>
      <c r="F143" s="108" t="s">
        <v>254</v>
      </c>
      <c r="G143" s="109">
        <f>212081.6-625</f>
        <v>211456.6</v>
      </c>
      <c r="H143" s="113">
        <f>904.8+1160+860+1100</f>
        <v>4024.8</v>
      </c>
      <c r="I143" s="113"/>
      <c r="J143" s="113"/>
      <c r="K143" s="114">
        <f>118.125-99.6742</f>
        <v>18.4508</v>
      </c>
      <c r="L143" s="113">
        <v>275</v>
      </c>
      <c r="M143" s="114"/>
      <c r="N143" s="115">
        <v>550</v>
      </c>
      <c r="O143" s="116">
        <f>41.68846</f>
        <v>41.68846</v>
      </c>
      <c r="P143" s="116">
        <f>381+570</f>
        <v>951</v>
      </c>
      <c r="Q143" s="116"/>
      <c r="R143" s="116"/>
      <c r="S143" s="116">
        <f>-70+150-80+188.44882-3154.99814</f>
        <v>-2966.54932</v>
      </c>
      <c r="T143" s="116"/>
      <c r="U143" s="116">
        <v>60</v>
      </c>
      <c r="V143" s="114">
        <f>G143+H143+I143+K143+L143+O143+N143+P143+S143+U143</f>
        <v>214410.98994</v>
      </c>
      <c r="W143" s="104"/>
    </row>
    <row r="144" spans="1:23" ht="25.5">
      <c r="A144" s="107" t="s">
        <v>251</v>
      </c>
      <c r="B144" s="108" t="s">
        <v>216</v>
      </c>
      <c r="C144" s="108" t="s">
        <v>301</v>
      </c>
      <c r="D144" s="108" t="s">
        <v>211</v>
      </c>
      <c r="E144" s="108" t="s">
        <v>344</v>
      </c>
      <c r="F144" s="108"/>
      <c r="G144" s="109"/>
      <c r="H144" s="113"/>
      <c r="I144" s="113"/>
      <c r="J144" s="113"/>
      <c r="K144" s="114"/>
      <c r="L144" s="113"/>
      <c r="M144" s="114"/>
      <c r="N144" s="115"/>
      <c r="O144" s="116"/>
      <c r="P144" s="116"/>
      <c r="Q144" s="116"/>
      <c r="R144" s="116"/>
      <c r="S144" s="116">
        <f>S145</f>
        <v>3154.99814</v>
      </c>
      <c r="T144" s="116"/>
      <c r="U144" s="116"/>
      <c r="V144" s="116">
        <f>V145</f>
        <v>3154.99814</v>
      </c>
      <c r="W144" s="104"/>
    </row>
    <row r="145" spans="1:23" ht="63.75">
      <c r="A145" s="148" t="s">
        <v>345</v>
      </c>
      <c r="B145" s="108" t="s">
        <v>216</v>
      </c>
      <c r="C145" s="108" t="s">
        <v>301</v>
      </c>
      <c r="D145" s="108" t="s">
        <v>211</v>
      </c>
      <c r="E145" s="108" t="s">
        <v>344</v>
      </c>
      <c r="F145" s="108" t="s">
        <v>346</v>
      </c>
      <c r="G145" s="109"/>
      <c r="H145" s="113"/>
      <c r="I145" s="113"/>
      <c r="J145" s="113"/>
      <c r="K145" s="114"/>
      <c r="L145" s="113"/>
      <c r="M145" s="114"/>
      <c r="N145" s="115"/>
      <c r="O145" s="116"/>
      <c r="P145" s="116"/>
      <c r="Q145" s="116"/>
      <c r="R145" s="116"/>
      <c r="S145" s="116">
        <v>3154.99814</v>
      </c>
      <c r="T145" s="116"/>
      <c r="U145" s="116"/>
      <c r="V145" s="114">
        <f>S145</f>
        <v>3154.99814</v>
      </c>
      <c r="W145" s="104"/>
    </row>
    <row r="146" spans="1:23" ht="51">
      <c r="A146" s="149" t="s">
        <v>347</v>
      </c>
      <c r="B146" s="108" t="s">
        <v>216</v>
      </c>
      <c r="C146" s="108" t="s">
        <v>301</v>
      </c>
      <c r="D146" s="108" t="s">
        <v>211</v>
      </c>
      <c r="E146" s="108" t="s">
        <v>348</v>
      </c>
      <c r="F146" s="108"/>
      <c r="G146" s="109"/>
      <c r="H146" s="113"/>
      <c r="I146" s="113"/>
      <c r="J146" s="113"/>
      <c r="K146" s="114"/>
      <c r="L146" s="113">
        <f>L147</f>
        <v>365.00759</v>
      </c>
      <c r="M146" s="114">
        <f>M147</f>
        <v>0</v>
      </c>
      <c r="N146" s="115"/>
      <c r="O146" s="116"/>
      <c r="P146" s="116"/>
      <c r="Q146" s="116"/>
      <c r="R146" s="116"/>
      <c r="S146" s="116"/>
      <c r="T146" s="116"/>
      <c r="U146" s="116"/>
      <c r="V146" s="114">
        <f>V147</f>
        <v>365.00759</v>
      </c>
      <c r="W146" s="104"/>
    </row>
    <row r="147" spans="1:23" ht="25.5">
      <c r="A147" s="107" t="s">
        <v>253</v>
      </c>
      <c r="B147" s="108" t="s">
        <v>216</v>
      </c>
      <c r="C147" s="108" t="s">
        <v>301</v>
      </c>
      <c r="D147" s="108" t="s">
        <v>211</v>
      </c>
      <c r="E147" s="108" t="s">
        <v>348</v>
      </c>
      <c r="F147" s="108" t="s">
        <v>254</v>
      </c>
      <c r="G147" s="109"/>
      <c r="H147" s="113"/>
      <c r="I147" s="113"/>
      <c r="J147" s="113"/>
      <c r="K147" s="114"/>
      <c r="L147" s="113">
        <v>365.00759</v>
      </c>
      <c r="M147" s="114"/>
      <c r="N147" s="115"/>
      <c r="O147" s="116"/>
      <c r="P147" s="116"/>
      <c r="Q147" s="116"/>
      <c r="R147" s="116"/>
      <c r="S147" s="116"/>
      <c r="T147" s="116"/>
      <c r="U147" s="116"/>
      <c r="V147" s="114">
        <f>L147</f>
        <v>365.00759</v>
      </c>
      <c r="W147" s="104"/>
    </row>
    <row r="148" spans="1:23" ht="51">
      <c r="A148" s="128" t="s">
        <v>349</v>
      </c>
      <c r="B148" s="108" t="s">
        <v>216</v>
      </c>
      <c r="C148" s="108" t="s">
        <v>301</v>
      </c>
      <c r="D148" s="108" t="s">
        <v>211</v>
      </c>
      <c r="E148" s="108" t="s">
        <v>350</v>
      </c>
      <c r="F148" s="108"/>
      <c r="G148" s="109"/>
      <c r="H148" s="113"/>
      <c r="I148" s="113"/>
      <c r="J148" s="113"/>
      <c r="K148" s="114"/>
      <c r="L148" s="113"/>
      <c r="M148" s="114"/>
      <c r="N148" s="115">
        <f>N149</f>
        <v>1000</v>
      </c>
      <c r="O148" s="116">
        <f>O149</f>
        <v>0</v>
      </c>
      <c r="P148" s="116"/>
      <c r="Q148" s="116"/>
      <c r="R148" s="116"/>
      <c r="S148" s="116"/>
      <c r="T148" s="116"/>
      <c r="U148" s="116"/>
      <c r="V148" s="116">
        <f>V149</f>
        <v>1000</v>
      </c>
      <c r="W148" s="104"/>
    </row>
    <row r="149" spans="1:23" ht="25.5">
      <c r="A149" s="107" t="s">
        <v>253</v>
      </c>
      <c r="B149" s="108" t="s">
        <v>216</v>
      </c>
      <c r="C149" s="108" t="s">
        <v>301</v>
      </c>
      <c r="D149" s="108" t="s">
        <v>211</v>
      </c>
      <c r="E149" s="108" t="s">
        <v>350</v>
      </c>
      <c r="F149" s="108" t="s">
        <v>254</v>
      </c>
      <c r="G149" s="109"/>
      <c r="H149" s="113"/>
      <c r="I149" s="113"/>
      <c r="J149" s="113"/>
      <c r="K149" s="114"/>
      <c r="L149" s="113"/>
      <c r="M149" s="114"/>
      <c r="N149" s="115">
        <v>1000</v>
      </c>
      <c r="O149" s="116"/>
      <c r="P149" s="116"/>
      <c r="Q149" s="116"/>
      <c r="R149" s="116"/>
      <c r="S149" s="116"/>
      <c r="T149" s="116"/>
      <c r="U149" s="116"/>
      <c r="V149" s="114">
        <f>N149</f>
        <v>1000</v>
      </c>
      <c r="W149" s="104"/>
    </row>
    <row r="150" spans="1:23" ht="12.75">
      <c r="A150" s="105" t="s">
        <v>351</v>
      </c>
      <c r="B150" s="106"/>
      <c r="C150" s="106" t="s">
        <v>301</v>
      </c>
      <c r="D150" s="106" t="s">
        <v>217</v>
      </c>
      <c r="E150" s="108"/>
      <c r="F150" s="108"/>
      <c r="G150" s="39">
        <f aca="true" t="shared" si="59" ref="G150:O150">G151+G162</f>
        <v>742300</v>
      </c>
      <c r="H150" s="39">
        <f t="shared" si="59"/>
        <v>8521.099999999999</v>
      </c>
      <c r="I150" s="39">
        <f t="shared" si="59"/>
        <v>617.3</v>
      </c>
      <c r="J150" s="39">
        <f t="shared" si="59"/>
        <v>16450</v>
      </c>
      <c r="K150" s="101">
        <f t="shared" si="59"/>
        <v>-323.36766</v>
      </c>
      <c r="L150" s="39">
        <f t="shared" si="59"/>
        <v>-45959.12165</v>
      </c>
      <c r="M150" s="101">
        <f t="shared" si="59"/>
        <v>-2000</v>
      </c>
      <c r="N150" s="102">
        <f t="shared" si="59"/>
        <v>2347</v>
      </c>
      <c r="O150" s="103">
        <f t="shared" si="59"/>
        <v>-267.67306</v>
      </c>
      <c r="P150" s="103">
        <f>P151+P162+P167+P169+P171+P173+P178+P180+P182</f>
        <v>3560</v>
      </c>
      <c r="Q150" s="103">
        <f aca="true" t="shared" si="60" ref="Q150:V150">Q151+Q162+Q180</f>
        <v>250</v>
      </c>
      <c r="R150" s="103">
        <f t="shared" si="60"/>
        <v>7437.8</v>
      </c>
      <c r="S150" s="103">
        <f t="shared" si="60"/>
        <v>0</v>
      </c>
      <c r="T150" s="103">
        <f t="shared" si="60"/>
        <v>1180.7</v>
      </c>
      <c r="U150" s="103">
        <f t="shared" si="60"/>
        <v>-60</v>
      </c>
      <c r="V150" s="101">
        <f t="shared" si="60"/>
        <v>734303.73763</v>
      </c>
      <c r="W150" s="104"/>
    </row>
    <row r="151" spans="1:23" ht="12.75">
      <c r="A151" s="105" t="s">
        <v>352</v>
      </c>
      <c r="B151" s="106"/>
      <c r="C151" s="106" t="s">
        <v>301</v>
      </c>
      <c r="D151" s="106" t="s">
        <v>217</v>
      </c>
      <c r="E151" s="106" t="s">
        <v>353</v>
      </c>
      <c r="F151" s="106"/>
      <c r="G151" s="39">
        <f aca="true" t="shared" si="61" ref="G151:Q151">G152+G157</f>
        <v>205749</v>
      </c>
      <c r="H151" s="39">
        <f t="shared" si="61"/>
        <v>8521.099999999999</v>
      </c>
      <c r="I151" s="39">
        <f t="shared" si="61"/>
        <v>617.3</v>
      </c>
      <c r="J151" s="39">
        <f t="shared" si="61"/>
        <v>5450</v>
      </c>
      <c r="K151" s="101">
        <f t="shared" si="61"/>
        <v>-323.36766</v>
      </c>
      <c r="L151" s="39">
        <f t="shared" si="61"/>
        <v>5082</v>
      </c>
      <c r="M151" s="101">
        <f t="shared" si="61"/>
        <v>-2000</v>
      </c>
      <c r="N151" s="102">
        <f t="shared" si="61"/>
        <v>0</v>
      </c>
      <c r="O151" s="103">
        <f t="shared" si="61"/>
        <v>-267.67306</v>
      </c>
      <c r="P151" s="103">
        <f t="shared" si="61"/>
        <v>3560</v>
      </c>
      <c r="Q151" s="103">
        <f t="shared" si="61"/>
        <v>0</v>
      </c>
      <c r="R151" s="103">
        <f>R152+R157+R160</f>
        <v>7430</v>
      </c>
      <c r="S151" s="103">
        <f>S152+S157+S160+S155</f>
        <v>0</v>
      </c>
      <c r="T151" s="103">
        <f>T152+T157+T160+T155</f>
        <v>0</v>
      </c>
      <c r="U151" s="103">
        <f>U152+U157+U160+U155</f>
        <v>-60</v>
      </c>
      <c r="V151" s="103">
        <f>V152+V157+V160+V155</f>
        <v>233758.35927999998</v>
      </c>
      <c r="W151" s="104"/>
    </row>
    <row r="152" spans="1:23" ht="38.25">
      <c r="A152" s="147" t="s">
        <v>354</v>
      </c>
      <c r="B152" s="108" t="s">
        <v>216</v>
      </c>
      <c r="C152" s="108" t="s">
        <v>301</v>
      </c>
      <c r="D152" s="108" t="s">
        <v>217</v>
      </c>
      <c r="E152" s="108" t="s">
        <v>355</v>
      </c>
      <c r="F152" s="108"/>
      <c r="G152" s="109">
        <f aca="true" t="shared" si="62" ref="G152:P153">G153</f>
        <v>133745.8</v>
      </c>
      <c r="H152" s="109">
        <f t="shared" si="62"/>
        <v>7589.099999999999</v>
      </c>
      <c r="I152" s="109">
        <f t="shared" si="62"/>
        <v>0</v>
      </c>
      <c r="J152" s="109">
        <f t="shared" si="62"/>
        <v>5450</v>
      </c>
      <c r="K152" s="110">
        <f t="shared" si="62"/>
        <v>-323.36766</v>
      </c>
      <c r="L152" s="109">
        <f t="shared" si="62"/>
        <v>4415</v>
      </c>
      <c r="M152" s="110">
        <f t="shared" si="62"/>
        <v>-2000</v>
      </c>
      <c r="N152" s="111">
        <f t="shared" si="62"/>
        <v>0</v>
      </c>
      <c r="O152" s="112">
        <f t="shared" si="62"/>
        <v>-111.68846</v>
      </c>
      <c r="P152" s="112">
        <f t="shared" si="62"/>
        <v>3245</v>
      </c>
      <c r="Q152" s="112"/>
      <c r="R152" s="112"/>
      <c r="S152" s="112">
        <f aca="true" t="shared" si="63" ref="S152:V153">S153</f>
        <v>-1927.1814</v>
      </c>
      <c r="T152" s="112">
        <f t="shared" si="63"/>
        <v>0</v>
      </c>
      <c r="U152" s="112">
        <f t="shared" si="63"/>
        <v>-60</v>
      </c>
      <c r="V152" s="110">
        <f t="shared" si="63"/>
        <v>150022.66248</v>
      </c>
      <c r="W152" s="104"/>
    </row>
    <row r="153" spans="1:23" ht="25.5">
      <c r="A153" s="107" t="s">
        <v>251</v>
      </c>
      <c r="B153" s="108" t="s">
        <v>216</v>
      </c>
      <c r="C153" s="108" t="s">
        <v>301</v>
      </c>
      <c r="D153" s="108" t="s">
        <v>217</v>
      </c>
      <c r="E153" s="108" t="s">
        <v>356</v>
      </c>
      <c r="F153" s="108"/>
      <c r="G153" s="109">
        <f t="shared" si="62"/>
        <v>133745.8</v>
      </c>
      <c r="H153" s="109">
        <f t="shared" si="62"/>
        <v>7589.099999999999</v>
      </c>
      <c r="I153" s="109">
        <f t="shared" si="62"/>
        <v>0</v>
      </c>
      <c r="J153" s="109">
        <f t="shared" si="62"/>
        <v>5450</v>
      </c>
      <c r="K153" s="110">
        <f t="shared" si="62"/>
        <v>-323.36766</v>
      </c>
      <c r="L153" s="109">
        <f t="shared" si="62"/>
        <v>4415</v>
      </c>
      <c r="M153" s="110">
        <f t="shared" si="62"/>
        <v>-2000</v>
      </c>
      <c r="N153" s="111">
        <f t="shared" si="62"/>
        <v>0</v>
      </c>
      <c r="O153" s="112">
        <f t="shared" si="62"/>
        <v>-111.68846</v>
      </c>
      <c r="P153" s="112">
        <f t="shared" si="62"/>
        <v>3245</v>
      </c>
      <c r="Q153" s="112"/>
      <c r="R153" s="112"/>
      <c r="S153" s="112">
        <f t="shared" si="63"/>
        <v>-1927.1814</v>
      </c>
      <c r="T153" s="112">
        <f t="shared" si="63"/>
        <v>0</v>
      </c>
      <c r="U153" s="112">
        <f t="shared" si="63"/>
        <v>-60</v>
      </c>
      <c r="V153" s="110">
        <f t="shared" si="63"/>
        <v>150022.66248</v>
      </c>
      <c r="W153" s="104"/>
    </row>
    <row r="154" spans="1:23" ht="25.5">
      <c r="A154" s="107" t="s">
        <v>253</v>
      </c>
      <c r="B154" s="108" t="s">
        <v>216</v>
      </c>
      <c r="C154" s="108" t="s">
        <v>301</v>
      </c>
      <c r="D154" s="108" t="s">
        <v>217</v>
      </c>
      <c r="E154" s="108" t="s">
        <v>356</v>
      </c>
      <c r="F154" s="108" t="s">
        <v>254</v>
      </c>
      <c r="G154" s="109">
        <f>123745.8+10000</f>
        <v>133745.8</v>
      </c>
      <c r="H154" s="113">
        <f>2706.4+193.2+4341.7+100+247.8</f>
        <v>7589.099999999999</v>
      </c>
      <c r="I154" s="113"/>
      <c r="J154" s="113">
        <f>2300+2000+200+950</f>
        <v>5450</v>
      </c>
      <c r="K154" s="114">
        <f>-118.125-205.24266</f>
        <v>-323.36766</v>
      </c>
      <c r="L154" s="113">
        <v>4415</v>
      </c>
      <c r="M154" s="114">
        <v>-2000</v>
      </c>
      <c r="N154" s="115"/>
      <c r="O154" s="116">
        <v>-111.68846</v>
      </c>
      <c r="P154" s="116">
        <v>3245</v>
      </c>
      <c r="Q154" s="116"/>
      <c r="R154" s="116"/>
      <c r="S154" s="116">
        <f>70-150+315+50.2522+80-2292.4336</f>
        <v>-1927.1814</v>
      </c>
      <c r="T154" s="116"/>
      <c r="U154" s="116">
        <v>-60</v>
      </c>
      <c r="V154" s="114">
        <f>G154+H154+K154+J154+L154+M154+O154+P154+S154+U154</f>
        <v>150022.66248</v>
      </c>
      <c r="W154" s="104"/>
    </row>
    <row r="155" spans="1:23" ht="25.5">
      <c r="A155" s="107" t="s">
        <v>251</v>
      </c>
      <c r="B155" s="108" t="s">
        <v>216</v>
      </c>
      <c r="C155" s="108" t="s">
        <v>301</v>
      </c>
      <c r="D155" s="108" t="s">
        <v>217</v>
      </c>
      <c r="E155" s="108" t="s">
        <v>356</v>
      </c>
      <c r="F155" s="108"/>
      <c r="G155" s="109"/>
      <c r="H155" s="113"/>
      <c r="I155" s="113"/>
      <c r="J155" s="113"/>
      <c r="K155" s="114"/>
      <c r="L155" s="113"/>
      <c r="M155" s="114"/>
      <c r="N155" s="115"/>
      <c r="O155" s="116"/>
      <c r="P155" s="116"/>
      <c r="Q155" s="116"/>
      <c r="R155" s="116"/>
      <c r="S155" s="116">
        <f>S156</f>
        <v>2292.4336</v>
      </c>
      <c r="T155" s="116"/>
      <c r="U155" s="116"/>
      <c r="V155" s="116">
        <f>V156</f>
        <v>2292.4336</v>
      </c>
      <c r="W155" s="104"/>
    </row>
    <row r="156" spans="1:23" ht="63.75">
      <c r="A156" s="148" t="s">
        <v>345</v>
      </c>
      <c r="B156" s="108" t="s">
        <v>216</v>
      </c>
      <c r="C156" s="108" t="s">
        <v>301</v>
      </c>
      <c r="D156" s="108" t="s">
        <v>217</v>
      </c>
      <c r="E156" s="108" t="s">
        <v>356</v>
      </c>
      <c r="F156" s="108" t="s">
        <v>346</v>
      </c>
      <c r="G156" s="109"/>
      <c r="H156" s="113"/>
      <c r="I156" s="113"/>
      <c r="J156" s="113"/>
      <c r="K156" s="114"/>
      <c r="L156" s="113"/>
      <c r="M156" s="114"/>
      <c r="N156" s="115"/>
      <c r="O156" s="116"/>
      <c r="P156" s="116"/>
      <c r="Q156" s="116"/>
      <c r="R156" s="116"/>
      <c r="S156" s="116">
        <v>2292.4336</v>
      </c>
      <c r="T156" s="116"/>
      <c r="U156" s="116"/>
      <c r="V156" s="114">
        <f>S156</f>
        <v>2292.4336</v>
      </c>
      <c r="W156" s="104"/>
    </row>
    <row r="157" spans="1:23" ht="25.5">
      <c r="A157" s="107" t="s">
        <v>357</v>
      </c>
      <c r="B157" s="108" t="s">
        <v>216</v>
      </c>
      <c r="C157" s="108" t="s">
        <v>301</v>
      </c>
      <c r="D157" s="108" t="s">
        <v>217</v>
      </c>
      <c r="E157" s="108" t="s">
        <v>358</v>
      </c>
      <c r="F157" s="108"/>
      <c r="G157" s="109">
        <f aca="true" t="shared" si="64" ref="G157:M158">G158</f>
        <v>72003.2</v>
      </c>
      <c r="H157" s="109">
        <f t="shared" si="64"/>
        <v>932</v>
      </c>
      <c r="I157" s="109">
        <f t="shared" si="64"/>
        <v>617.3</v>
      </c>
      <c r="J157" s="109">
        <f t="shared" si="64"/>
        <v>0</v>
      </c>
      <c r="K157" s="110">
        <f t="shared" si="64"/>
        <v>0</v>
      </c>
      <c r="L157" s="109">
        <f t="shared" si="64"/>
        <v>667</v>
      </c>
      <c r="M157" s="110">
        <f t="shared" si="64"/>
        <v>0</v>
      </c>
      <c r="N157" s="111"/>
      <c r="O157" s="112">
        <f>O158</f>
        <v>-155.9846</v>
      </c>
      <c r="P157" s="112">
        <f>P158</f>
        <v>315</v>
      </c>
      <c r="Q157" s="112"/>
      <c r="R157" s="112"/>
      <c r="S157" s="112">
        <f>S158</f>
        <v>-365.2522</v>
      </c>
      <c r="T157" s="112"/>
      <c r="U157" s="112"/>
      <c r="V157" s="110">
        <f>V158</f>
        <v>74013.2632</v>
      </c>
      <c r="W157" s="104"/>
    </row>
    <row r="158" spans="1:23" ht="25.5">
      <c r="A158" s="107" t="s">
        <v>251</v>
      </c>
      <c r="B158" s="108" t="s">
        <v>216</v>
      </c>
      <c r="C158" s="108" t="s">
        <v>301</v>
      </c>
      <c r="D158" s="108" t="s">
        <v>217</v>
      </c>
      <c r="E158" s="108" t="s">
        <v>359</v>
      </c>
      <c r="F158" s="108"/>
      <c r="G158" s="109">
        <f t="shared" si="64"/>
        <v>72003.2</v>
      </c>
      <c r="H158" s="109">
        <f t="shared" si="64"/>
        <v>932</v>
      </c>
      <c r="I158" s="109">
        <f t="shared" si="64"/>
        <v>617.3</v>
      </c>
      <c r="J158" s="109">
        <f t="shared" si="64"/>
        <v>0</v>
      </c>
      <c r="K158" s="110">
        <f t="shared" si="64"/>
        <v>0</v>
      </c>
      <c r="L158" s="109">
        <f t="shared" si="64"/>
        <v>667</v>
      </c>
      <c r="M158" s="110">
        <f t="shared" si="64"/>
        <v>0</v>
      </c>
      <c r="N158" s="111"/>
      <c r="O158" s="112">
        <v>-155.9846</v>
      </c>
      <c r="P158" s="112">
        <f>P159</f>
        <v>315</v>
      </c>
      <c r="Q158" s="112"/>
      <c r="R158" s="112"/>
      <c r="S158" s="112">
        <f>S159</f>
        <v>-365.2522</v>
      </c>
      <c r="T158" s="112"/>
      <c r="U158" s="112"/>
      <c r="V158" s="110">
        <f>V159</f>
        <v>74013.2632</v>
      </c>
      <c r="W158" s="104"/>
    </row>
    <row r="159" spans="1:23" ht="25.5">
      <c r="A159" s="107" t="s">
        <v>253</v>
      </c>
      <c r="B159" s="108" t="s">
        <v>216</v>
      </c>
      <c r="C159" s="108" t="s">
        <v>301</v>
      </c>
      <c r="D159" s="108" t="s">
        <v>217</v>
      </c>
      <c r="E159" s="108" t="s">
        <v>359</v>
      </c>
      <c r="F159" s="108" t="s">
        <v>254</v>
      </c>
      <c r="G159" s="109">
        <f>65927+6076.2</f>
        <v>72003.2</v>
      </c>
      <c r="H159" s="113">
        <f>932</f>
        <v>932</v>
      </c>
      <c r="I159" s="113">
        <f>-117.7+735</f>
        <v>617.3</v>
      </c>
      <c r="J159" s="113"/>
      <c r="K159" s="114"/>
      <c r="L159" s="113">
        <v>667</v>
      </c>
      <c r="M159" s="114"/>
      <c r="N159" s="115"/>
      <c r="O159" s="116">
        <v>-155.9846</v>
      </c>
      <c r="P159" s="116">
        <v>315</v>
      </c>
      <c r="Q159" s="116"/>
      <c r="R159" s="116"/>
      <c r="S159" s="116">
        <f>-315-50.2522</f>
        <v>-365.2522</v>
      </c>
      <c r="T159" s="116"/>
      <c r="U159" s="116"/>
      <c r="V159" s="114">
        <f>G159+H159+I159+L159+O159+P159+S159</f>
        <v>74013.2632</v>
      </c>
      <c r="W159" s="104"/>
    </row>
    <row r="160" spans="1:23" ht="25.5">
      <c r="A160" s="150" t="s">
        <v>360</v>
      </c>
      <c r="B160" s="108" t="s">
        <v>216</v>
      </c>
      <c r="C160" s="108" t="s">
        <v>301</v>
      </c>
      <c r="D160" s="108" t="s">
        <v>217</v>
      </c>
      <c r="E160" s="108" t="s">
        <v>361</v>
      </c>
      <c r="F160" s="108"/>
      <c r="G160" s="109"/>
      <c r="H160" s="113"/>
      <c r="I160" s="113"/>
      <c r="J160" s="113"/>
      <c r="K160" s="114"/>
      <c r="L160" s="113"/>
      <c r="M160" s="114"/>
      <c r="N160" s="115"/>
      <c r="O160" s="116"/>
      <c r="P160" s="116"/>
      <c r="Q160" s="116"/>
      <c r="R160" s="116">
        <f>R161</f>
        <v>7430</v>
      </c>
      <c r="S160" s="116">
        <f>S161</f>
        <v>0</v>
      </c>
      <c r="T160" s="116"/>
      <c r="U160" s="116"/>
      <c r="V160" s="116">
        <f>V161</f>
        <v>7430</v>
      </c>
      <c r="W160" s="104"/>
    </row>
    <row r="161" spans="1:23" ht="25.5">
      <c r="A161" s="107" t="s">
        <v>253</v>
      </c>
      <c r="B161" s="108" t="s">
        <v>216</v>
      </c>
      <c r="C161" s="108" t="s">
        <v>301</v>
      </c>
      <c r="D161" s="108" t="s">
        <v>217</v>
      </c>
      <c r="E161" s="108" t="s">
        <v>361</v>
      </c>
      <c r="F161" s="108" t="s">
        <v>254</v>
      </c>
      <c r="G161" s="109"/>
      <c r="H161" s="113"/>
      <c r="I161" s="113"/>
      <c r="J161" s="113"/>
      <c r="K161" s="114"/>
      <c r="L161" s="113"/>
      <c r="M161" s="114"/>
      <c r="N161" s="115"/>
      <c r="O161" s="116"/>
      <c r="P161" s="116"/>
      <c r="Q161" s="116"/>
      <c r="R161" s="116">
        <v>7430</v>
      </c>
      <c r="S161" s="116"/>
      <c r="T161" s="116"/>
      <c r="U161" s="116"/>
      <c r="V161" s="114">
        <f>R161</f>
        <v>7430</v>
      </c>
      <c r="W161" s="104"/>
    </row>
    <row r="162" spans="1:23" ht="25.5">
      <c r="A162" s="151" t="s">
        <v>362</v>
      </c>
      <c r="B162" s="106" t="s">
        <v>216</v>
      </c>
      <c r="C162" s="106" t="s">
        <v>301</v>
      </c>
      <c r="D162" s="106" t="s">
        <v>217</v>
      </c>
      <c r="E162" s="106" t="s">
        <v>363</v>
      </c>
      <c r="F162" s="106"/>
      <c r="G162" s="39">
        <f>G171+G173+G167+G163</f>
        <v>536551</v>
      </c>
      <c r="H162" s="39">
        <f>H171+H173+H167+H163</f>
        <v>0</v>
      </c>
      <c r="I162" s="39">
        <f>I171+I173+I167+I163</f>
        <v>0</v>
      </c>
      <c r="J162" s="39">
        <f>J171+J173+J167+J163</f>
        <v>11000</v>
      </c>
      <c r="K162" s="101">
        <f>K171+K173+K167+K163</f>
        <v>0</v>
      </c>
      <c r="L162" s="39">
        <f>L171+L173+L167+L163+L169</f>
        <v>-51041.12165</v>
      </c>
      <c r="M162" s="101">
        <f>M171+M173+M167+M163+M169</f>
        <v>0</v>
      </c>
      <c r="N162" s="102">
        <f>N171+N173+N167+N163+N169+N182</f>
        <v>2347</v>
      </c>
      <c r="O162" s="103">
        <f>O171+O173+O167+O163+O169+O182</f>
        <v>0</v>
      </c>
      <c r="P162" s="103">
        <f>P171+P173+P167+P163+P169+P182</f>
        <v>0</v>
      </c>
      <c r="Q162" s="103">
        <f>Q171+Q173+Q167+Q163+Q169+Q182</f>
        <v>0</v>
      </c>
      <c r="R162" s="103">
        <f>R171+R173+R167+R163+R169+R182</f>
        <v>7.800000000000182</v>
      </c>
      <c r="S162" s="103">
        <f>S171+S173+S167+S163+S169+S182+S165+S176</f>
        <v>0</v>
      </c>
      <c r="T162" s="103">
        <f>T171+T173+T167+T163+T169+T182+T165</f>
        <v>1180.7</v>
      </c>
      <c r="U162" s="103">
        <f>U171+U173+U167+U163+U169+U182+U165</f>
        <v>0</v>
      </c>
      <c r="V162" s="101">
        <f>V171+V173+V167+V163+V169+V182+V180+V165</f>
        <v>500295.37835</v>
      </c>
      <c r="W162" s="104"/>
    </row>
    <row r="163" spans="1:23" ht="38.25">
      <c r="A163" s="128" t="s">
        <v>364</v>
      </c>
      <c r="B163" s="108" t="s">
        <v>216</v>
      </c>
      <c r="C163" s="108" t="s">
        <v>301</v>
      </c>
      <c r="D163" s="108" t="s">
        <v>217</v>
      </c>
      <c r="E163" s="108" t="s">
        <v>365</v>
      </c>
      <c r="F163" s="108"/>
      <c r="G163" s="109">
        <f aca="true" t="shared" si="65" ref="G163:M163">G164</f>
        <v>0</v>
      </c>
      <c r="H163" s="109">
        <f t="shared" si="65"/>
        <v>0</v>
      </c>
      <c r="I163" s="109">
        <f t="shared" si="65"/>
        <v>0</v>
      </c>
      <c r="J163" s="109">
        <f t="shared" si="65"/>
        <v>9000</v>
      </c>
      <c r="K163" s="110">
        <f t="shared" si="65"/>
        <v>0</v>
      </c>
      <c r="L163" s="109">
        <f t="shared" si="65"/>
        <v>0</v>
      </c>
      <c r="M163" s="110">
        <f t="shared" si="65"/>
        <v>0</v>
      </c>
      <c r="N163" s="111"/>
      <c r="O163" s="112"/>
      <c r="P163" s="112"/>
      <c r="Q163" s="112"/>
      <c r="R163" s="112"/>
      <c r="S163" s="112">
        <f>S164</f>
        <v>-354.3</v>
      </c>
      <c r="T163" s="112"/>
      <c r="U163" s="112"/>
      <c r="V163" s="110">
        <f>V164</f>
        <v>8645.7</v>
      </c>
      <c r="W163" s="104"/>
    </row>
    <row r="164" spans="1:23" ht="25.5">
      <c r="A164" s="107" t="s">
        <v>253</v>
      </c>
      <c r="B164" s="108" t="s">
        <v>216</v>
      </c>
      <c r="C164" s="108" t="s">
        <v>301</v>
      </c>
      <c r="D164" s="108" t="s">
        <v>217</v>
      </c>
      <c r="E164" s="108" t="s">
        <v>365</v>
      </c>
      <c r="F164" s="108" t="s">
        <v>254</v>
      </c>
      <c r="G164" s="109"/>
      <c r="H164" s="109"/>
      <c r="I164" s="109"/>
      <c r="J164" s="109">
        <v>9000</v>
      </c>
      <c r="K164" s="110"/>
      <c r="L164" s="109"/>
      <c r="M164" s="110"/>
      <c r="N164" s="111"/>
      <c r="O164" s="112"/>
      <c r="P164" s="112"/>
      <c r="Q164" s="112"/>
      <c r="R164" s="112"/>
      <c r="S164" s="112">
        <v>-354.3</v>
      </c>
      <c r="T164" s="112"/>
      <c r="U164" s="112"/>
      <c r="V164" s="110">
        <f>J164+S164</f>
        <v>8645.7</v>
      </c>
      <c r="W164" s="104"/>
    </row>
    <row r="165" spans="1:23" ht="38.25">
      <c r="A165" s="128" t="s">
        <v>364</v>
      </c>
      <c r="B165" s="108" t="s">
        <v>216</v>
      </c>
      <c r="C165" s="108" t="s">
        <v>301</v>
      </c>
      <c r="D165" s="108" t="s">
        <v>217</v>
      </c>
      <c r="E165" s="108" t="s">
        <v>365</v>
      </c>
      <c r="F165" s="108"/>
      <c r="G165" s="109"/>
      <c r="H165" s="109"/>
      <c r="I165" s="109"/>
      <c r="J165" s="109"/>
      <c r="K165" s="110"/>
      <c r="L165" s="109"/>
      <c r="M165" s="110"/>
      <c r="N165" s="111"/>
      <c r="O165" s="112"/>
      <c r="P165" s="112"/>
      <c r="Q165" s="112"/>
      <c r="R165" s="112"/>
      <c r="S165" s="112">
        <f>S166</f>
        <v>354.3</v>
      </c>
      <c r="T165" s="112"/>
      <c r="U165" s="112"/>
      <c r="V165" s="112">
        <f>V166</f>
        <v>354.3</v>
      </c>
      <c r="W165" s="104"/>
    </row>
    <row r="166" spans="1:23" ht="89.25">
      <c r="A166" s="148" t="s">
        <v>366</v>
      </c>
      <c r="B166" s="108" t="s">
        <v>216</v>
      </c>
      <c r="C166" s="108" t="s">
        <v>301</v>
      </c>
      <c r="D166" s="108" t="s">
        <v>217</v>
      </c>
      <c r="E166" s="108" t="s">
        <v>365</v>
      </c>
      <c r="F166" s="108" t="s">
        <v>367</v>
      </c>
      <c r="G166" s="109"/>
      <c r="H166" s="109"/>
      <c r="I166" s="109"/>
      <c r="J166" s="109"/>
      <c r="K166" s="110"/>
      <c r="L166" s="109"/>
      <c r="M166" s="110"/>
      <c r="N166" s="111"/>
      <c r="O166" s="112"/>
      <c r="P166" s="112"/>
      <c r="Q166" s="112"/>
      <c r="R166" s="112"/>
      <c r="S166" s="112">
        <v>354.3</v>
      </c>
      <c r="T166" s="112"/>
      <c r="U166" s="112"/>
      <c r="V166" s="110">
        <f>S166</f>
        <v>354.3</v>
      </c>
      <c r="W166" s="104"/>
    </row>
    <row r="167" spans="1:23" ht="38.25">
      <c r="A167" s="128" t="s">
        <v>368</v>
      </c>
      <c r="B167" s="108" t="s">
        <v>216</v>
      </c>
      <c r="C167" s="108" t="s">
        <v>301</v>
      </c>
      <c r="D167" s="108" t="s">
        <v>217</v>
      </c>
      <c r="E167" s="108" t="s">
        <v>369</v>
      </c>
      <c r="F167" s="106"/>
      <c r="G167" s="109">
        <f aca="true" t="shared" si="66" ref="G167:M167">G168</f>
        <v>0</v>
      </c>
      <c r="H167" s="109">
        <f t="shared" si="66"/>
        <v>0</v>
      </c>
      <c r="I167" s="109">
        <f t="shared" si="66"/>
        <v>0</v>
      </c>
      <c r="J167" s="109">
        <f t="shared" si="66"/>
        <v>2000</v>
      </c>
      <c r="K167" s="110">
        <f t="shared" si="66"/>
        <v>0</v>
      </c>
      <c r="L167" s="109">
        <f t="shared" si="66"/>
        <v>0</v>
      </c>
      <c r="M167" s="110">
        <f t="shared" si="66"/>
        <v>0</v>
      </c>
      <c r="N167" s="111"/>
      <c r="O167" s="112"/>
      <c r="P167" s="112"/>
      <c r="Q167" s="112"/>
      <c r="R167" s="112"/>
      <c r="S167" s="112"/>
      <c r="T167" s="112"/>
      <c r="U167" s="112"/>
      <c r="V167" s="110">
        <f>V168</f>
        <v>2000</v>
      </c>
      <c r="W167" s="104"/>
    </row>
    <row r="168" spans="1:23" ht="25.5">
      <c r="A168" s="107" t="s">
        <v>253</v>
      </c>
      <c r="B168" s="108" t="s">
        <v>216</v>
      </c>
      <c r="C168" s="108" t="s">
        <v>301</v>
      </c>
      <c r="D168" s="108" t="s">
        <v>217</v>
      </c>
      <c r="E168" s="108" t="s">
        <v>369</v>
      </c>
      <c r="F168" s="108" t="s">
        <v>254</v>
      </c>
      <c r="G168" s="109"/>
      <c r="H168" s="109"/>
      <c r="I168" s="109"/>
      <c r="J168" s="109">
        <v>2000</v>
      </c>
      <c r="K168" s="110"/>
      <c r="L168" s="109"/>
      <c r="M168" s="110"/>
      <c r="N168" s="111"/>
      <c r="O168" s="112"/>
      <c r="P168" s="112"/>
      <c r="Q168" s="112"/>
      <c r="R168" s="112"/>
      <c r="S168" s="112"/>
      <c r="T168" s="112"/>
      <c r="U168" s="112"/>
      <c r="V168" s="110">
        <f>J168</f>
        <v>2000</v>
      </c>
      <c r="W168" s="104"/>
    </row>
    <row r="169" spans="1:23" ht="51">
      <c r="A169" s="149" t="s">
        <v>347</v>
      </c>
      <c r="B169" s="108" t="s">
        <v>216</v>
      </c>
      <c r="C169" s="108" t="s">
        <v>301</v>
      </c>
      <c r="D169" s="108" t="s">
        <v>217</v>
      </c>
      <c r="E169" s="108" t="s">
        <v>348</v>
      </c>
      <c r="F169" s="108"/>
      <c r="G169" s="109"/>
      <c r="H169" s="109"/>
      <c r="I169" s="109"/>
      <c r="J169" s="109"/>
      <c r="K169" s="110"/>
      <c r="L169" s="109">
        <f>L170</f>
        <v>89.17835</v>
      </c>
      <c r="M169" s="110"/>
      <c r="N169" s="111"/>
      <c r="O169" s="112"/>
      <c r="P169" s="112"/>
      <c r="Q169" s="112"/>
      <c r="R169" s="112"/>
      <c r="S169" s="112"/>
      <c r="T169" s="112"/>
      <c r="U169" s="112"/>
      <c r="V169" s="110">
        <f>V170</f>
        <v>89.17835</v>
      </c>
      <c r="W169" s="104"/>
    </row>
    <row r="170" spans="1:23" ht="25.5">
      <c r="A170" s="107" t="s">
        <v>253</v>
      </c>
      <c r="B170" s="108" t="s">
        <v>216</v>
      </c>
      <c r="C170" s="108" t="s">
        <v>301</v>
      </c>
      <c r="D170" s="108" t="s">
        <v>217</v>
      </c>
      <c r="E170" s="108" t="s">
        <v>348</v>
      </c>
      <c r="F170" s="108" t="s">
        <v>254</v>
      </c>
      <c r="G170" s="109"/>
      <c r="H170" s="109"/>
      <c r="I170" s="109"/>
      <c r="J170" s="109"/>
      <c r="K170" s="110"/>
      <c r="L170" s="109">
        <v>89.17835</v>
      </c>
      <c r="M170" s="110"/>
      <c r="N170" s="111"/>
      <c r="O170" s="112"/>
      <c r="P170" s="112"/>
      <c r="Q170" s="112"/>
      <c r="R170" s="112"/>
      <c r="S170" s="112"/>
      <c r="T170" s="112"/>
      <c r="U170" s="112"/>
      <c r="V170" s="110">
        <f>L170</f>
        <v>89.17835</v>
      </c>
      <c r="W170" s="104"/>
    </row>
    <row r="171" spans="1:23" ht="66" customHeight="1">
      <c r="A171" s="138" t="s">
        <v>370</v>
      </c>
      <c r="B171" s="108" t="s">
        <v>216</v>
      </c>
      <c r="C171" s="108" t="s">
        <v>301</v>
      </c>
      <c r="D171" s="108" t="s">
        <v>217</v>
      </c>
      <c r="E171" s="108" t="s">
        <v>371</v>
      </c>
      <c r="F171" s="108"/>
      <c r="G171" s="109">
        <f aca="true" t="shared" si="67" ref="G171:M171">G172</f>
        <v>86061</v>
      </c>
      <c r="H171" s="109">
        <f t="shared" si="67"/>
        <v>0</v>
      </c>
      <c r="I171" s="109">
        <f t="shared" si="67"/>
        <v>0</v>
      </c>
      <c r="J171" s="109">
        <f t="shared" si="67"/>
        <v>0</v>
      </c>
      <c r="K171" s="110">
        <f t="shared" si="67"/>
        <v>0</v>
      </c>
      <c r="L171" s="109">
        <f t="shared" si="67"/>
        <v>0</v>
      </c>
      <c r="M171" s="110">
        <f t="shared" si="67"/>
        <v>0</v>
      </c>
      <c r="N171" s="111"/>
      <c r="O171" s="112"/>
      <c r="P171" s="112"/>
      <c r="Q171" s="112"/>
      <c r="R171" s="112">
        <f>R172</f>
        <v>823</v>
      </c>
      <c r="S171" s="112">
        <f>S172</f>
        <v>0</v>
      </c>
      <c r="T171" s="112"/>
      <c r="U171" s="112"/>
      <c r="V171" s="110">
        <f>V172</f>
        <v>86884</v>
      </c>
      <c r="W171" s="104"/>
    </row>
    <row r="172" spans="1:23" ht="25.5">
      <c r="A172" s="107" t="s">
        <v>253</v>
      </c>
      <c r="B172" s="108" t="s">
        <v>216</v>
      </c>
      <c r="C172" s="108" t="s">
        <v>301</v>
      </c>
      <c r="D172" s="108" t="s">
        <v>217</v>
      </c>
      <c r="E172" s="108" t="s">
        <v>371</v>
      </c>
      <c r="F172" s="108" t="s">
        <v>254</v>
      </c>
      <c r="G172" s="109">
        <v>86061</v>
      </c>
      <c r="H172" s="113"/>
      <c r="I172" s="113"/>
      <c r="J172" s="113"/>
      <c r="K172" s="114"/>
      <c r="L172" s="113"/>
      <c r="M172" s="114"/>
      <c r="N172" s="115"/>
      <c r="O172" s="116"/>
      <c r="P172" s="116"/>
      <c r="Q172" s="116"/>
      <c r="R172" s="116">
        <v>823</v>
      </c>
      <c r="S172" s="116"/>
      <c r="T172" s="116"/>
      <c r="U172" s="116"/>
      <c r="V172" s="114">
        <f>G172+H172+I172+S172+R172</f>
        <v>86884</v>
      </c>
      <c r="W172" s="104"/>
    </row>
    <row r="173" spans="1:23" ht="38.25">
      <c r="A173" s="107" t="s">
        <v>372</v>
      </c>
      <c r="B173" s="108" t="s">
        <v>216</v>
      </c>
      <c r="C173" s="108" t="s">
        <v>301</v>
      </c>
      <c r="D173" s="108" t="s">
        <v>217</v>
      </c>
      <c r="E173" s="108" t="s">
        <v>373</v>
      </c>
      <c r="F173" s="108"/>
      <c r="G173" s="133">
        <f aca="true" t="shared" si="68" ref="G173:M173">G174+G178</f>
        <v>450490</v>
      </c>
      <c r="H173" s="133">
        <f t="shared" si="68"/>
        <v>0</v>
      </c>
      <c r="I173" s="133">
        <f t="shared" si="68"/>
        <v>0</v>
      </c>
      <c r="J173" s="133">
        <f t="shared" si="68"/>
        <v>0</v>
      </c>
      <c r="K173" s="134">
        <f t="shared" si="68"/>
        <v>0</v>
      </c>
      <c r="L173" s="133">
        <f t="shared" si="68"/>
        <v>-51130.3</v>
      </c>
      <c r="M173" s="134">
        <f t="shared" si="68"/>
        <v>0</v>
      </c>
      <c r="N173" s="134">
        <f aca="true" t="shared" si="69" ref="N173:T173">N174+N178</f>
        <v>0</v>
      </c>
      <c r="O173" s="134">
        <f t="shared" si="69"/>
        <v>0</v>
      </c>
      <c r="P173" s="134">
        <f t="shared" si="69"/>
        <v>0</v>
      </c>
      <c r="Q173" s="134">
        <f t="shared" si="69"/>
        <v>0</v>
      </c>
      <c r="R173" s="134">
        <f t="shared" si="69"/>
        <v>-815.1999999999998</v>
      </c>
      <c r="S173" s="134">
        <f t="shared" si="69"/>
        <v>-4474.13303</v>
      </c>
      <c r="T173" s="134">
        <f t="shared" si="69"/>
        <v>1180.7</v>
      </c>
      <c r="U173" s="134"/>
      <c r="V173" s="134">
        <f>V174+V178+V176</f>
        <v>399725.2</v>
      </c>
      <c r="W173" s="104"/>
    </row>
    <row r="174" spans="1:23" ht="63.75">
      <c r="A174" s="107" t="s">
        <v>374</v>
      </c>
      <c r="B174" s="108" t="s">
        <v>216</v>
      </c>
      <c r="C174" s="108" t="s">
        <v>301</v>
      </c>
      <c r="D174" s="108" t="s">
        <v>217</v>
      </c>
      <c r="E174" s="108" t="s">
        <v>375</v>
      </c>
      <c r="F174" s="108"/>
      <c r="G174" s="109">
        <f aca="true" t="shared" si="70" ref="G174:M174">G175</f>
        <v>350649</v>
      </c>
      <c r="H174" s="109">
        <f t="shared" si="70"/>
        <v>0</v>
      </c>
      <c r="I174" s="109">
        <f t="shared" si="70"/>
        <v>0</v>
      </c>
      <c r="J174" s="109">
        <f t="shared" si="70"/>
        <v>0</v>
      </c>
      <c r="K174" s="110">
        <f t="shared" si="70"/>
        <v>0</v>
      </c>
      <c r="L174" s="109">
        <f t="shared" si="70"/>
        <v>-51130.3</v>
      </c>
      <c r="M174" s="110">
        <f t="shared" si="70"/>
        <v>0</v>
      </c>
      <c r="N174" s="111"/>
      <c r="O174" s="112"/>
      <c r="P174" s="112"/>
      <c r="Q174" s="112"/>
      <c r="R174" s="112">
        <f>R175</f>
        <v>-815.1999999999998</v>
      </c>
      <c r="S174" s="112">
        <f>S175</f>
        <v>-4474.13303</v>
      </c>
      <c r="T174" s="112">
        <f>T175</f>
        <v>1180.7</v>
      </c>
      <c r="U174" s="112">
        <f>U175</f>
        <v>-619.3</v>
      </c>
      <c r="V174" s="110">
        <f>V175</f>
        <v>294790.76697</v>
      </c>
      <c r="W174" s="104"/>
    </row>
    <row r="175" spans="1:23" ht="25.5">
      <c r="A175" s="107" t="s">
        <v>253</v>
      </c>
      <c r="B175" s="108" t="s">
        <v>216</v>
      </c>
      <c r="C175" s="108" t="s">
        <v>301</v>
      </c>
      <c r="D175" s="108" t="s">
        <v>217</v>
      </c>
      <c r="E175" s="108" t="s">
        <v>375</v>
      </c>
      <c r="F175" s="108" t="s">
        <v>254</v>
      </c>
      <c r="G175" s="109">
        <v>350649</v>
      </c>
      <c r="H175" s="113"/>
      <c r="I175" s="113"/>
      <c r="J175" s="113"/>
      <c r="K175" s="114"/>
      <c r="L175" s="113">
        <v>-51130.3</v>
      </c>
      <c r="M175" s="114"/>
      <c r="N175" s="115"/>
      <c r="O175" s="116"/>
      <c r="P175" s="116"/>
      <c r="Q175" s="116"/>
      <c r="R175" s="116">
        <f>7437.8-823-7430</f>
        <v>-815.1999999999998</v>
      </c>
      <c r="S175" s="116">
        <f>-4471.29503-2.838</f>
        <v>-4474.13303</v>
      </c>
      <c r="T175" s="116">
        <v>1180.7</v>
      </c>
      <c r="U175" s="116">
        <v>-619.3</v>
      </c>
      <c r="V175" s="114">
        <f>G175+H175+I175+L175+S175+R175+T175+U175</f>
        <v>294790.76697</v>
      </c>
      <c r="W175" s="104"/>
    </row>
    <row r="176" spans="1:23" ht="63.75">
      <c r="A176" s="107" t="s">
        <v>374</v>
      </c>
      <c r="B176" s="108" t="s">
        <v>216</v>
      </c>
      <c r="C176" s="108" t="s">
        <v>301</v>
      </c>
      <c r="D176" s="108" t="s">
        <v>217</v>
      </c>
      <c r="E176" s="108" t="s">
        <v>375</v>
      </c>
      <c r="F176" s="108"/>
      <c r="G176" s="109"/>
      <c r="H176" s="113"/>
      <c r="I176" s="113"/>
      <c r="J176" s="113"/>
      <c r="K176" s="114"/>
      <c r="L176" s="113"/>
      <c r="M176" s="114"/>
      <c r="N176" s="115"/>
      <c r="O176" s="116"/>
      <c r="P176" s="116"/>
      <c r="Q176" s="116"/>
      <c r="R176" s="116"/>
      <c r="S176" s="116">
        <f>S177</f>
        <v>4474.13303</v>
      </c>
      <c r="T176" s="116">
        <f>T177</f>
        <v>0</v>
      </c>
      <c r="U176" s="116">
        <f>U177</f>
        <v>619.3</v>
      </c>
      <c r="V176" s="116">
        <f>V177</f>
        <v>5093.43303</v>
      </c>
      <c r="W176" s="104"/>
    </row>
    <row r="177" spans="1:23" ht="63.75">
      <c r="A177" s="148" t="s">
        <v>345</v>
      </c>
      <c r="B177" s="108" t="s">
        <v>216</v>
      </c>
      <c r="C177" s="108" t="s">
        <v>301</v>
      </c>
      <c r="D177" s="108" t="s">
        <v>217</v>
      </c>
      <c r="E177" s="108" t="s">
        <v>375</v>
      </c>
      <c r="F177" s="108" t="s">
        <v>346</v>
      </c>
      <c r="G177" s="109"/>
      <c r="H177" s="113"/>
      <c r="I177" s="113"/>
      <c r="J177" s="113"/>
      <c r="K177" s="114"/>
      <c r="L177" s="113"/>
      <c r="M177" s="114"/>
      <c r="N177" s="115"/>
      <c r="O177" s="116"/>
      <c r="P177" s="116"/>
      <c r="Q177" s="116"/>
      <c r="R177" s="116"/>
      <c r="S177" s="116">
        <f>4471.29503+2.838</f>
        <v>4474.13303</v>
      </c>
      <c r="T177" s="116"/>
      <c r="U177" s="116">
        <v>619.3</v>
      </c>
      <c r="V177" s="114">
        <f>S177+U177</f>
        <v>5093.43303</v>
      </c>
      <c r="W177" s="104"/>
    </row>
    <row r="178" spans="1:23" ht="51">
      <c r="A178" s="107" t="s">
        <v>376</v>
      </c>
      <c r="B178" s="108" t="s">
        <v>216</v>
      </c>
      <c r="C178" s="108" t="s">
        <v>301</v>
      </c>
      <c r="D178" s="108" t="s">
        <v>217</v>
      </c>
      <c r="E178" s="108" t="s">
        <v>377</v>
      </c>
      <c r="F178" s="108"/>
      <c r="G178" s="109">
        <f aca="true" t="shared" si="71" ref="G178:M178">G179</f>
        <v>99841</v>
      </c>
      <c r="H178" s="109">
        <f t="shared" si="71"/>
        <v>0</v>
      </c>
      <c r="I178" s="109">
        <f t="shared" si="71"/>
        <v>0</v>
      </c>
      <c r="J178" s="109">
        <f t="shared" si="71"/>
        <v>0</v>
      </c>
      <c r="K178" s="110">
        <f t="shared" si="71"/>
        <v>0</v>
      </c>
      <c r="L178" s="109">
        <f t="shared" si="71"/>
        <v>0</v>
      </c>
      <c r="M178" s="110">
        <f t="shared" si="71"/>
        <v>0</v>
      </c>
      <c r="N178" s="111"/>
      <c r="O178" s="112"/>
      <c r="P178" s="112"/>
      <c r="Q178" s="112"/>
      <c r="R178" s="112"/>
      <c r="S178" s="112"/>
      <c r="T178" s="112"/>
      <c r="U178" s="112"/>
      <c r="V178" s="110">
        <f>V179</f>
        <v>99841</v>
      </c>
      <c r="W178" s="104"/>
    </row>
    <row r="179" spans="1:23" ht="25.5">
      <c r="A179" s="107" t="s">
        <v>253</v>
      </c>
      <c r="B179" s="108" t="s">
        <v>216</v>
      </c>
      <c r="C179" s="108" t="s">
        <v>301</v>
      </c>
      <c r="D179" s="108" t="s">
        <v>217</v>
      </c>
      <c r="E179" s="108" t="s">
        <v>377</v>
      </c>
      <c r="F179" s="108" t="s">
        <v>254</v>
      </c>
      <c r="G179" s="109">
        <v>99841</v>
      </c>
      <c r="H179" s="113"/>
      <c r="I179" s="113"/>
      <c r="J179" s="113"/>
      <c r="K179" s="114"/>
      <c r="L179" s="113"/>
      <c r="M179" s="114"/>
      <c r="N179" s="115"/>
      <c r="O179" s="116"/>
      <c r="P179" s="116"/>
      <c r="Q179" s="116"/>
      <c r="R179" s="116"/>
      <c r="S179" s="116"/>
      <c r="T179" s="116"/>
      <c r="U179" s="116"/>
      <c r="V179" s="114">
        <f>G179+H179+I179</f>
        <v>99841</v>
      </c>
      <c r="W179" s="104"/>
    </row>
    <row r="180" spans="1:23" ht="63.75">
      <c r="A180" s="128" t="s">
        <v>378</v>
      </c>
      <c r="B180" s="108" t="s">
        <v>216</v>
      </c>
      <c r="C180" s="108" t="s">
        <v>301</v>
      </c>
      <c r="D180" s="108" t="s">
        <v>217</v>
      </c>
      <c r="E180" s="108" t="s">
        <v>379</v>
      </c>
      <c r="F180" s="108"/>
      <c r="G180" s="109"/>
      <c r="H180" s="113"/>
      <c r="I180" s="113"/>
      <c r="J180" s="113"/>
      <c r="K180" s="114"/>
      <c r="L180" s="113"/>
      <c r="M180" s="114"/>
      <c r="N180" s="115"/>
      <c r="O180" s="116"/>
      <c r="P180" s="116"/>
      <c r="Q180" s="116">
        <f>Q181</f>
        <v>250</v>
      </c>
      <c r="R180" s="116"/>
      <c r="S180" s="116"/>
      <c r="T180" s="116"/>
      <c r="U180" s="116"/>
      <c r="V180" s="114">
        <f>V181</f>
        <v>250</v>
      </c>
      <c r="W180" s="104"/>
    </row>
    <row r="181" spans="1:23" ht="25.5">
      <c r="A181" s="107" t="s">
        <v>253</v>
      </c>
      <c r="B181" s="108" t="s">
        <v>216</v>
      </c>
      <c r="C181" s="108" t="s">
        <v>301</v>
      </c>
      <c r="D181" s="108" t="s">
        <v>217</v>
      </c>
      <c r="E181" s="108" t="s">
        <v>379</v>
      </c>
      <c r="F181" s="108" t="s">
        <v>254</v>
      </c>
      <c r="G181" s="109"/>
      <c r="H181" s="113"/>
      <c r="I181" s="113"/>
      <c r="J181" s="113"/>
      <c r="K181" s="114"/>
      <c r="L181" s="113"/>
      <c r="M181" s="114"/>
      <c r="N181" s="115"/>
      <c r="O181" s="116"/>
      <c r="P181" s="116"/>
      <c r="Q181" s="116">
        <v>250</v>
      </c>
      <c r="R181" s="116"/>
      <c r="S181" s="116"/>
      <c r="T181" s="116"/>
      <c r="U181" s="116"/>
      <c r="V181" s="152">
        <f>Q181</f>
        <v>250</v>
      </c>
      <c r="W181" s="104"/>
    </row>
    <row r="182" spans="1:23" ht="51">
      <c r="A182" s="128" t="s">
        <v>349</v>
      </c>
      <c r="B182" s="108" t="s">
        <v>216</v>
      </c>
      <c r="C182" s="108" t="s">
        <v>301</v>
      </c>
      <c r="D182" s="108" t="s">
        <v>217</v>
      </c>
      <c r="E182" s="108" t="s">
        <v>350</v>
      </c>
      <c r="F182" s="108"/>
      <c r="G182" s="109"/>
      <c r="H182" s="113"/>
      <c r="I182" s="113"/>
      <c r="J182" s="113"/>
      <c r="K182" s="114"/>
      <c r="L182" s="113"/>
      <c r="M182" s="114"/>
      <c r="N182" s="115">
        <f>N183</f>
        <v>2347</v>
      </c>
      <c r="O182" s="116">
        <f>O183</f>
        <v>0</v>
      </c>
      <c r="P182" s="116"/>
      <c r="Q182" s="116"/>
      <c r="R182" s="116"/>
      <c r="S182" s="116"/>
      <c r="T182" s="116"/>
      <c r="U182" s="116"/>
      <c r="V182" s="116">
        <f>V183</f>
        <v>2347</v>
      </c>
      <c r="W182" s="104"/>
    </row>
    <row r="183" spans="1:23" ht="25.5">
      <c r="A183" s="107" t="s">
        <v>253</v>
      </c>
      <c r="B183" s="108" t="s">
        <v>216</v>
      </c>
      <c r="C183" s="108" t="s">
        <v>301</v>
      </c>
      <c r="D183" s="108" t="s">
        <v>217</v>
      </c>
      <c r="E183" s="108" t="s">
        <v>350</v>
      </c>
      <c r="F183" s="108" t="s">
        <v>254</v>
      </c>
      <c r="G183" s="109"/>
      <c r="H183" s="113"/>
      <c r="I183" s="113"/>
      <c r="J183" s="113"/>
      <c r="K183" s="114"/>
      <c r="L183" s="113"/>
      <c r="M183" s="114"/>
      <c r="N183" s="115">
        <v>2347</v>
      </c>
      <c r="O183" s="116"/>
      <c r="P183" s="116"/>
      <c r="Q183" s="116"/>
      <c r="R183" s="116"/>
      <c r="S183" s="116"/>
      <c r="T183" s="116"/>
      <c r="U183" s="116"/>
      <c r="V183" s="114">
        <f>N183</f>
        <v>2347</v>
      </c>
      <c r="W183" s="104"/>
    </row>
    <row r="184" spans="1:23" ht="25.5">
      <c r="A184" s="105" t="s">
        <v>380</v>
      </c>
      <c r="B184" s="106"/>
      <c r="C184" s="106" t="s">
        <v>301</v>
      </c>
      <c r="D184" s="106" t="s">
        <v>301</v>
      </c>
      <c r="E184" s="106"/>
      <c r="F184" s="106"/>
      <c r="G184" s="39">
        <f>G185+G198+G196</f>
        <v>5176.5</v>
      </c>
      <c r="H184" s="39">
        <f>H185+H198+H196</f>
        <v>0</v>
      </c>
      <c r="I184" s="39">
        <f>I185+I198+I196</f>
        <v>0</v>
      </c>
      <c r="J184" s="39">
        <f>J185+J198+J196</f>
        <v>150</v>
      </c>
      <c r="K184" s="101">
        <f>K185+K198+K196</f>
        <v>0</v>
      </c>
      <c r="L184" s="39">
        <f>L185+L198+L196+L194+L188</f>
        <v>10574.46</v>
      </c>
      <c r="M184" s="101">
        <f>M185+M198+M196+M194+M188</f>
        <v>2000</v>
      </c>
      <c r="N184" s="102">
        <f>N185+N198+N196+N194+N188</f>
        <v>0</v>
      </c>
      <c r="O184" s="103">
        <f>O185+O198+O196+O194+O188+O192+O190</f>
        <v>75.9846</v>
      </c>
      <c r="P184" s="103">
        <f>P185+P194+P196+P198</f>
        <v>720</v>
      </c>
      <c r="Q184" s="103"/>
      <c r="R184" s="103"/>
      <c r="S184" s="103"/>
      <c r="T184" s="103"/>
      <c r="U184" s="103"/>
      <c r="V184" s="101">
        <f>V185+V198+V196+V194+V188</f>
        <v>18696.9446</v>
      </c>
      <c r="W184" s="104"/>
    </row>
    <row r="185" spans="1:23" ht="25.5">
      <c r="A185" s="107" t="s">
        <v>381</v>
      </c>
      <c r="B185" s="108" t="s">
        <v>216</v>
      </c>
      <c r="C185" s="108" t="s">
        <v>301</v>
      </c>
      <c r="D185" s="108" t="s">
        <v>301</v>
      </c>
      <c r="E185" s="108" t="s">
        <v>382</v>
      </c>
      <c r="F185" s="153"/>
      <c r="G185" s="109">
        <f>G192</f>
        <v>4376.5</v>
      </c>
      <c r="H185" s="109">
        <f>H192</f>
        <v>0</v>
      </c>
      <c r="I185" s="109">
        <f>I192</f>
        <v>0</v>
      </c>
      <c r="J185" s="109">
        <f>J192</f>
        <v>0</v>
      </c>
      <c r="K185" s="110">
        <f>K192</f>
        <v>0</v>
      </c>
      <c r="L185" s="109">
        <f>L186+L192+L190</f>
        <v>7686.459999999999</v>
      </c>
      <c r="M185" s="110">
        <f>M186+M192+M190</f>
        <v>2000</v>
      </c>
      <c r="N185" s="111"/>
      <c r="O185" s="112"/>
      <c r="P185" s="112">
        <f>P186+P190+P192</f>
        <v>570</v>
      </c>
      <c r="Q185" s="112"/>
      <c r="R185" s="112"/>
      <c r="S185" s="112"/>
      <c r="T185" s="112"/>
      <c r="U185" s="112"/>
      <c r="V185" s="110">
        <f>V186+V192+V190</f>
        <v>14788.944599999999</v>
      </c>
      <c r="W185" s="104"/>
    </row>
    <row r="186" spans="1:23" ht="12.75">
      <c r="A186" s="128" t="s">
        <v>383</v>
      </c>
      <c r="B186" s="108" t="s">
        <v>216</v>
      </c>
      <c r="C186" s="108" t="s">
        <v>301</v>
      </c>
      <c r="D186" s="108" t="s">
        <v>301</v>
      </c>
      <c r="E186" s="108" t="s">
        <v>384</v>
      </c>
      <c r="F186" s="153"/>
      <c r="G186" s="109"/>
      <c r="H186" s="109"/>
      <c r="I186" s="109"/>
      <c r="J186" s="109"/>
      <c r="K186" s="110"/>
      <c r="L186" s="109">
        <f>L187</f>
        <v>3619.4159999999997</v>
      </c>
      <c r="M186" s="110"/>
      <c r="N186" s="111"/>
      <c r="O186" s="112"/>
      <c r="P186" s="112"/>
      <c r="Q186" s="112"/>
      <c r="R186" s="112"/>
      <c r="S186" s="112"/>
      <c r="T186" s="112"/>
      <c r="U186" s="112"/>
      <c r="V186" s="110">
        <f>V187</f>
        <v>3619.4159999999997</v>
      </c>
      <c r="W186" s="104"/>
    </row>
    <row r="187" spans="1:23" ht="38.25">
      <c r="A187" s="154" t="s">
        <v>385</v>
      </c>
      <c r="B187" s="108" t="s">
        <v>216</v>
      </c>
      <c r="C187" s="108" t="s">
        <v>301</v>
      </c>
      <c r="D187" s="108" t="s">
        <v>301</v>
      </c>
      <c r="E187" s="108" t="s">
        <v>384</v>
      </c>
      <c r="F187" s="108" t="s">
        <v>386</v>
      </c>
      <c r="G187" s="109"/>
      <c r="H187" s="109"/>
      <c r="I187" s="109"/>
      <c r="J187" s="109"/>
      <c r="K187" s="110"/>
      <c r="L187" s="109">
        <f>6032.36-2412.944</f>
        <v>3619.4159999999997</v>
      </c>
      <c r="M187" s="110"/>
      <c r="N187" s="111"/>
      <c r="O187" s="112"/>
      <c r="P187" s="112"/>
      <c r="Q187" s="112"/>
      <c r="R187" s="112"/>
      <c r="S187" s="112"/>
      <c r="T187" s="112"/>
      <c r="U187" s="112"/>
      <c r="V187" s="110">
        <f>L187</f>
        <v>3619.4159999999997</v>
      </c>
      <c r="W187" s="104"/>
    </row>
    <row r="188" spans="1:23" ht="12.75">
      <c r="A188" s="128" t="s">
        <v>383</v>
      </c>
      <c r="B188" s="108" t="s">
        <v>216</v>
      </c>
      <c r="C188" s="108" t="s">
        <v>301</v>
      </c>
      <c r="D188" s="108" t="s">
        <v>301</v>
      </c>
      <c r="E188" s="108" t="s">
        <v>384</v>
      </c>
      <c r="F188" s="153"/>
      <c r="G188" s="109"/>
      <c r="H188" s="109"/>
      <c r="I188" s="109"/>
      <c r="J188" s="109"/>
      <c r="K188" s="110"/>
      <c r="L188" s="109">
        <f>L189</f>
        <v>1000</v>
      </c>
      <c r="M188" s="110">
        <f>M189</f>
        <v>0</v>
      </c>
      <c r="N188" s="111"/>
      <c r="O188" s="112"/>
      <c r="P188" s="112"/>
      <c r="Q188" s="112"/>
      <c r="R188" s="112"/>
      <c r="S188" s="112"/>
      <c r="T188" s="112"/>
      <c r="U188" s="112"/>
      <c r="V188" s="110">
        <f>V189</f>
        <v>1000</v>
      </c>
      <c r="W188" s="104"/>
    </row>
    <row r="189" spans="1:23" ht="12.75">
      <c r="A189" s="107" t="s">
        <v>4</v>
      </c>
      <c r="B189" s="108" t="s">
        <v>216</v>
      </c>
      <c r="C189" s="108" t="s">
        <v>301</v>
      </c>
      <c r="D189" s="108" t="s">
        <v>301</v>
      </c>
      <c r="E189" s="108" t="s">
        <v>384</v>
      </c>
      <c r="F189" s="108" t="s">
        <v>229</v>
      </c>
      <c r="G189" s="109"/>
      <c r="H189" s="109"/>
      <c r="I189" s="109"/>
      <c r="J189" s="109"/>
      <c r="K189" s="110"/>
      <c r="L189" s="109">
        <v>1000</v>
      </c>
      <c r="M189" s="110"/>
      <c r="N189" s="111"/>
      <c r="O189" s="112"/>
      <c r="P189" s="112"/>
      <c r="Q189" s="112"/>
      <c r="R189" s="112"/>
      <c r="S189" s="112"/>
      <c r="T189" s="112"/>
      <c r="U189" s="112"/>
      <c r="V189" s="110">
        <f>L189</f>
        <v>1000</v>
      </c>
      <c r="W189" s="104"/>
    </row>
    <row r="190" spans="1:23" ht="38.25">
      <c r="A190" s="155" t="s">
        <v>387</v>
      </c>
      <c r="B190" s="108" t="s">
        <v>216</v>
      </c>
      <c r="C190" s="108" t="s">
        <v>301</v>
      </c>
      <c r="D190" s="108" t="s">
        <v>301</v>
      </c>
      <c r="E190" s="108" t="s">
        <v>388</v>
      </c>
      <c r="F190" s="108"/>
      <c r="G190" s="109"/>
      <c r="H190" s="109"/>
      <c r="I190" s="109"/>
      <c r="J190" s="109"/>
      <c r="K190" s="110"/>
      <c r="L190" s="109">
        <f>L191</f>
        <v>2412.944</v>
      </c>
      <c r="M190" s="110">
        <f>M191</f>
        <v>0</v>
      </c>
      <c r="N190" s="111"/>
      <c r="O190" s="112"/>
      <c r="P190" s="112"/>
      <c r="Q190" s="112"/>
      <c r="R190" s="112"/>
      <c r="S190" s="112"/>
      <c r="T190" s="112"/>
      <c r="U190" s="112"/>
      <c r="V190" s="110">
        <f>V191</f>
        <v>2412.944</v>
      </c>
      <c r="W190" s="104"/>
    </row>
    <row r="191" spans="1:23" ht="38.25">
      <c r="A191" s="154" t="s">
        <v>385</v>
      </c>
      <c r="B191" s="108" t="s">
        <v>216</v>
      </c>
      <c r="C191" s="108" t="s">
        <v>301</v>
      </c>
      <c r="D191" s="108" t="s">
        <v>301</v>
      </c>
      <c r="E191" s="108" t="s">
        <v>388</v>
      </c>
      <c r="F191" s="108" t="s">
        <v>386</v>
      </c>
      <c r="G191" s="109"/>
      <c r="H191" s="109"/>
      <c r="I191" s="109"/>
      <c r="J191" s="109"/>
      <c r="K191" s="110"/>
      <c r="L191" s="109">
        <v>2412.944</v>
      </c>
      <c r="M191" s="110"/>
      <c r="N191" s="111"/>
      <c r="O191" s="112"/>
      <c r="P191" s="112"/>
      <c r="Q191" s="112"/>
      <c r="R191" s="112"/>
      <c r="S191" s="112"/>
      <c r="T191" s="112"/>
      <c r="U191" s="112"/>
      <c r="V191" s="110">
        <f>L191</f>
        <v>2412.944</v>
      </c>
      <c r="W191" s="104"/>
    </row>
    <row r="192" spans="1:23" ht="12.75">
      <c r="A192" s="107" t="s">
        <v>389</v>
      </c>
      <c r="B192" s="108" t="s">
        <v>216</v>
      </c>
      <c r="C192" s="108" t="s">
        <v>301</v>
      </c>
      <c r="D192" s="108" t="s">
        <v>301</v>
      </c>
      <c r="E192" s="108" t="s">
        <v>390</v>
      </c>
      <c r="F192" s="108"/>
      <c r="G192" s="109">
        <f aca="true" t="shared" si="72" ref="G192:M192">G193</f>
        <v>4376.5</v>
      </c>
      <c r="H192" s="109">
        <f t="shared" si="72"/>
        <v>0</v>
      </c>
      <c r="I192" s="109">
        <f t="shared" si="72"/>
        <v>0</v>
      </c>
      <c r="J192" s="109">
        <f t="shared" si="72"/>
        <v>0</v>
      </c>
      <c r="K192" s="110">
        <f t="shared" si="72"/>
        <v>0</v>
      </c>
      <c r="L192" s="109">
        <f t="shared" si="72"/>
        <v>1654.1</v>
      </c>
      <c r="M192" s="110">
        <f t="shared" si="72"/>
        <v>2000</v>
      </c>
      <c r="N192" s="111"/>
      <c r="O192" s="112">
        <f>O193</f>
        <v>155.9846</v>
      </c>
      <c r="P192" s="112">
        <f>P193</f>
        <v>570</v>
      </c>
      <c r="Q192" s="112"/>
      <c r="R192" s="112"/>
      <c r="S192" s="112"/>
      <c r="T192" s="112"/>
      <c r="U192" s="112"/>
      <c r="V192" s="110">
        <f>V193</f>
        <v>8756.5846</v>
      </c>
      <c r="W192" s="104"/>
    </row>
    <row r="193" spans="1:23" ht="25.5">
      <c r="A193" s="107" t="s">
        <v>253</v>
      </c>
      <c r="B193" s="108" t="s">
        <v>216</v>
      </c>
      <c r="C193" s="108" t="s">
        <v>301</v>
      </c>
      <c r="D193" s="108" t="s">
        <v>301</v>
      </c>
      <c r="E193" s="108" t="s">
        <v>390</v>
      </c>
      <c r="F193" s="108" t="s">
        <v>254</v>
      </c>
      <c r="G193" s="109">
        <v>4376.5</v>
      </c>
      <c r="H193" s="113"/>
      <c r="I193" s="113"/>
      <c r="J193" s="113"/>
      <c r="K193" s="114"/>
      <c r="L193" s="113">
        <f>500+1154.1</f>
        <v>1654.1</v>
      </c>
      <c r="M193" s="114">
        <v>2000</v>
      </c>
      <c r="N193" s="115"/>
      <c r="O193" s="116">
        <v>155.9846</v>
      </c>
      <c r="P193" s="116">
        <v>570</v>
      </c>
      <c r="Q193" s="116"/>
      <c r="R193" s="116"/>
      <c r="S193" s="116"/>
      <c r="T193" s="116"/>
      <c r="U193" s="116"/>
      <c r="V193" s="114">
        <f>G193+H193+I193+L193+M193+O193+P193</f>
        <v>8756.5846</v>
      </c>
      <c r="W193" s="104"/>
    </row>
    <row r="194" spans="1:23" ht="25.5">
      <c r="A194" s="128" t="s">
        <v>391</v>
      </c>
      <c r="B194" s="108" t="s">
        <v>216</v>
      </c>
      <c r="C194" s="108" t="s">
        <v>301</v>
      </c>
      <c r="D194" s="108" t="s">
        <v>301</v>
      </c>
      <c r="E194" s="108" t="s">
        <v>392</v>
      </c>
      <c r="F194" s="108"/>
      <c r="G194" s="109"/>
      <c r="H194" s="113"/>
      <c r="I194" s="113"/>
      <c r="J194" s="113"/>
      <c r="K194" s="114"/>
      <c r="L194" s="113">
        <f>L195</f>
        <v>738</v>
      </c>
      <c r="M194" s="114"/>
      <c r="N194" s="115"/>
      <c r="O194" s="116"/>
      <c r="P194" s="116"/>
      <c r="Q194" s="116"/>
      <c r="R194" s="116"/>
      <c r="S194" s="116"/>
      <c r="T194" s="116"/>
      <c r="U194" s="116"/>
      <c r="V194" s="114">
        <f>V195</f>
        <v>738</v>
      </c>
      <c r="W194" s="104"/>
    </row>
    <row r="195" spans="1:23" ht="38.25">
      <c r="A195" s="154" t="s">
        <v>385</v>
      </c>
      <c r="B195" s="108" t="s">
        <v>216</v>
      </c>
      <c r="C195" s="108" t="s">
        <v>301</v>
      </c>
      <c r="D195" s="108" t="s">
        <v>301</v>
      </c>
      <c r="E195" s="108" t="s">
        <v>392</v>
      </c>
      <c r="F195" s="108" t="s">
        <v>386</v>
      </c>
      <c r="G195" s="109"/>
      <c r="H195" s="113"/>
      <c r="I195" s="113"/>
      <c r="J195" s="113"/>
      <c r="K195" s="114"/>
      <c r="L195" s="113">
        <v>738</v>
      </c>
      <c r="M195" s="114"/>
      <c r="N195" s="115"/>
      <c r="O195" s="116"/>
      <c r="P195" s="116"/>
      <c r="Q195" s="116"/>
      <c r="R195" s="116"/>
      <c r="S195" s="116"/>
      <c r="T195" s="116"/>
      <c r="U195" s="116"/>
      <c r="V195" s="114">
        <f>L195</f>
        <v>738</v>
      </c>
      <c r="W195" s="104"/>
    </row>
    <row r="196" spans="1:23" ht="51">
      <c r="A196" s="128" t="s">
        <v>393</v>
      </c>
      <c r="B196" s="108" t="s">
        <v>216</v>
      </c>
      <c r="C196" s="108" t="s">
        <v>301</v>
      </c>
      <c r="D196" s="108" t="s">
        <v>301</v>
      </c>
      <c r="E196" s="108" t="s">
        <v>394</v>
      </c>
      <c r="F196" s="108"/>
      <c r="G196" s="109">
        <f aca="true" t="shared" si="73" ref="G196:M196">G197</f>
        <v>0</v>
      </c>
      <c r="H196" s="109">
        <f t="shared" si="73"/>
        <v>0</v>
      </c>
      <c r="I196" s="109">
        <f t="shared" si="73"/>
        <v>0</v>
      </c>
      <c r="J196" s="109">
        <f t="shared" si="73"/>
        <v>150</v>
      </c>
      <c r="K196" s="110">
        <f t="shared" si="73"/>
        <v>0</v>
      </c>
      <c r="L196" s="109">
        <f t="shared" si="73"/>
        <v>0</v>
      </c>
      <c r="M196" s="110">
        <f t="shared" si="73"/>
        <v>0</v>
      </c>
      <c r="N196" s="111"/>
      <c r="O196" s="112"/>
      <c r="P196" s="112">
        <f>P197</f>
        <v>150</v>
      </c>
      <c r="Q196" s="112"/>
      <c r="R196" s="112"/>
      <c r="S196" s="112"/>
      <c r="T196" s="112"/>
      <c r="U196" s="112"/>
      <c r="V196" s="110">
        <f>V197</f>
        <v>300</v>
      </c>
      <c r="W196" s="104"/>
    </row>
    <row r="197" spans="1:23" ht="38.25">
      <c r="A197" s="154" t="s">
        <v>385</v>
      </c>
      <c r="B197" s="108" t="s">
        <v>216</v>
      </c>
      <c r="C197" s="108" t="s">
        <v>301</v>
      </c>
      <c r="D197" s="108" t="s">
        <v>301</v>
      </c>
      <c r="E197" s="108" t="s">
        <v>394</v>
      </c>
      <c r="F197" s="108" t="s">
        <v>386</v>
      </c>
      <c r="G197" s="109"/>
      <c r="H197" s="113"/>
      <c r="I197" s="113"/>
      <c r="J197" s="113">
        <v>150</v>
      </c>
      <c r="K197" s="114"/>
      <c r="L197" s="113"/>
      <c r="M197" s="114"/>
      <c r="N197" s="115"/>
      <c r="O197" s="116"/>
      <c r="P197" s="116">
        <v>150</v>
      </c>
      <c r="Q197" s="116"/>
      <c r="R197" s="116"/>
      <c r="S197" s="116"/>
      <c r="T197" s="116"/>
      <c r="U197" s="116"/>
      <c r="V197" s="114">
        <f>J197+P197</f>
        <v>300</v>
      </c>
      <c r="W197" s="104"/>
    </row>
    <row r="198" spans="1:23" ht="38.25">
      <c r="A198" s="107" t="s">
        <v>395</v>
      </c>
      <c r="B198" s="108" t="s">
        <v>216</v>
      </c>
      <c r="C198" s="108" t="s">
        <v>301</v>
      </c>
      <c r="D198" s="108" t="s">
        <v>301</v>
      </c>
      <c r="E198" s="108" t="s">
        <v>396</v>
      </c>
      <c r="F198" s="108"/>
      <c r="G198" s="109">
        <f aca="true" t="shared" si="74" ref="G198:O198">G199</f>
        <v>800</v>
      </c>
      <c r="H198" s="109">
        <f t="shared" si="74"/>
        <v>0</v>
      </c>
      <c r="I198" s="109">
        <f t="shared" si="74"/>
        <v>0</v>
      </c>
      <c r="J198" s="109">
        <f t="shared" si="74"/>
        <v>0</v>
      </c>
      <c r="K198" s="110">
        <f t="shared" si="74"/>
        <v>0</v>
      </c>
      <c r="L198" s="109">
        <f t="shared" si="74"/>
        <v>1150</v>
      </c>
      <c r="M198" s="110">
        <f t="shared" si="74"/>
        <v>0</v>
      </c>
      <c r="N198" s="111">
        <f t="shared" si="74"/>
        <v>0</v>
      </c>
      <c r="O198" s="112">
        <f t="shared" si="74"/>
        <v>-80</v>
      </c>
      <c r="P198" s="112"/>
      <c r="Q198" s="112"/>
      <c r="R198" s="112"/>
      <c r="S198" s="112"/>
      <c r="T198" s="112"/>
      <c r="U198" s="112"/>
      <c r="V198" s="110">
        <f>V199</f>
        <v>1870</v>
      </c>
      <c r="W198" s="104"/>
    </row>
    <row r="199" spans="1:23" ht="25.5">
      <c r="A199" s="107" t="s">
        <v>221</v>
      </c>
      <c r="B199" s="108" t="s">
        <v>216</v>
      </c>
      <c r="C199" s="108" t="s">
        <v>301</v>
      </c>
      <c r="D199" s="108" t="s">
        <v>301</v>
      </c>
      <c r="E199" s="108" t="s">
        <v>396</v>
      </c>
      <c r="F199" s="108" t="s">
        <v>229</v>
      </c>
      <c r="G199" s="109">
        <v>800</v>
      </c>
      <c r="H199" s="113"/>
      <c r="I199" s="113"/>
      <c r="J199" s="113"/>
      <c r="K199" s="114"/>
      <c r="L199" s="113">
        <v>1150</v>
      </c>
      <c r="M199" s="114"/>
      <c r="N199" s="115"/>
      <c r="O199" s="116">
        <v>-80</v>
      </c>
      <c r="P199" s="116"/>
      <c r="Q199" s="116"/>
      <c r="R199" s="116"/>
      <c r="S199" s="116"/>
      <c r="T199" s="116"/>
      <c r="U199" s="116"/>
      <c r="V199" s="114">
        <f>G199+H199+I199+L199+O199</f>
        <v>1870</v>
      </c>
      <c r="W199" s="104"/>
    </row>
    <row r="200" spans="1:23" ht="25.5">
      <c r="A200" s="105" t="s">
        <v>397</v>
      </c>
      <c r="B200" s="106"/>
      <c r="C200" s="106" t="s">
        <v>301</v>
      </c>
      <c r="D200" s="106" t="s">
        <v>278</v>
      </c>
      <c r="E200" s="106"/>
      <c r="F200" s="106"/>
      <c r="G200" s="39">
        <f>G201+G206+G209</f>
        <v>53487.100000000006</v>
      </c>
      <c r="H200" s="39">
        <f aca="true" t="shared" si="75" ref="H200:V200">H201+H206+H209+H204</f>
        <v>4070.3</v>
      </c>
      <c r="I200" s="39">
        <f t="shared" si="75"/>
        <v>0</v>
      </c>
      <c r="J200" s="39">
        <f t="shared" si="75"/>
        <v>0</v>
      </c>
      <c r="K200" s="101">
        <f t="shared" si="75"/>
        <v>379.91686000000004</v>
      </c>
      <c r="L200" s="39">
        <f t="shared" si="75"/>
        <v>227.79999999999995</v>
      </c>
      <c r="M200" s="101">
        <f t="shared" si="75"/>
        <v>0</v>
      </c>
      <c r="N200" s="102">
        <f t="shared" si="75"/>
        <v>0</v>
      </c>
      <c r="O200" s="103">
        <f t="shared" si="75"/>
        <v>70</v>
      </c>
      <c r="P200" s="103">
        <f t="shared" si="75"/>
        <v>0</v>
      </c>
      <c r="Q200" s="103">
        <f t="shared" si="75"/>
        <v>0</v>
      </c>
      <c r="R200" s="103">
        <f t="shared" si="75"/>
        <v>0</v>
      </c>
      <c r="S200" s="103">
        <f t="shared" si="75"/>
        <v>0</v>
      </c>
      <c r="T200" s="103">
        <f t="shared" si="75"/>
        <v>0</v>
      </c>
      <c r="U200" s="103"/>
      <c r="V200" s="101">
        <f t="shared" si="75"/>
        <v>58235.11686</v>
      </c>
      <c r="W200" s="104"/>
    </row>
    <row r="201" spans="1:23" ht="38.25">
      <c r="A201" s="107" t="s">
        <v>398</v>
      </c>
      <c r="B201" s="108" t="s">
        <v>216</v>
      </c>
      <c r="C201" s="108" t="s">
        <v>301</v>
      </c>
      <c r="D201" s="108" t="s">
        <v>278</v>
      </c>
      <c r="E201" s="108" t="s">
        <v>399</v>
      </c>
      <c r="F201" s="108"/>
      <c r="G201" s="109">
        <f aca="true" t="shared" si="76" ref="G201:M202">G202</f>
        <v>20388.7</v>
      </c>
      <c r="H201" s="109">
        <f t="shared" si="76"/>
        <v>3070.3</v>
      </c>
      <c r="I201" s="109">
        <f t="shared" si="76"/>
        <v>0</v>
      </c>
      <c r="J201" s="109">
        <f t="shared" si="76"/>
        <v>0</v>
      </c>
      <c r="K201" s="110">
        <f t="shared" si="76"/>
        <v>345.51</v>
      </c>
      <c r="L201" s="109">
        <f t="shared" si="76"/>
        <v>227.79999999999995</v>
      </c>
      <c r="M201" s="110">
        <f t="shared" si="76"/>
        <v>0</v>
      </c>
      <c r="N201" s="111"/>
      <c r="O201" s="112"/>
      <c r="P201" s="112"/>
      <c r="Q201" s="112"/>
      <c r="R201" s="112"/>
      <c r="S201" s="112"/>
      <c r="T201" s="112"/>
      <c r="U201" s="112"/>
      <c r="V201" s="110">
        <f>V202</f>
        <v>24032.309999999998</v>
      </c>
      <c r="W201" s="104"/>
    </row>
    <row r="202" spans="1:23" ht="25.5">
      <c r="A202" s="107" t="s">
        <v>251</v>
      </c>
      <c r="B202" s="108" t="s">
        <v>216</v>
      </c>
      <c r="C202" s="108" t="s">
        <v>301</v>
      </c>
      <c r="D202" s="108" t="s">
        <v>278</v>
      </c>
      <c r="E202" s="108" t="s">
        <v>400</v>
      </c>
      <c r="F202" s="108"/>
      <c r="G202" s="109">
        <f t="shared" si="76"/>
        <v>20388.7</v>
      </c>
      <c r="H202" s="109">
        <f t="shared" si="76"/>
        <v>3070.3</v>
      </c>
      <c r="I202" s="109">
        <f t="shared" si="76"/>
        <v>0</v>
      </c>
      <c r="J202" s="109">
        <f t="shared" si="76"/>
        <v>0</v>
      </c>
      <c r="K202" s="110">
        <f t="shared" si="76"/>
        <v>345.51</v>
      </c>
      <c r="L202" s="109">
        <f t="shared" si="76"/>
        <v>227.79999999999995</v>
      </c>
      <c r="M202" s="110">
        <f t="shared" si="76"/>
        <v>0</v>
      </c>
      <c r="N202" s="111"/>
      <c r="O202" s="112"/>
      <c r="P202" s="112"/>
      <c r="Q202" s="112"/>
      <c r="R202" s="112"/>
      <c r="S202" s="112"/>
      <c r="T202" s="112"/>
      <c r="U202" s="112"/>
      <c r="V202" s="110">
        <f>V203</f>
        <v>24032.309999999998</v>
      </c>
      <c r="W202" s="104"/>
    </row>
    <row r="203" spans="1:23" ht="25.5">
      <c r="A203" s="107" t="s">
        <v>253</v>
      </c>
      <c r="B203" s="108" t="s">
        <v>216</v>
      </c>
      <c r="C203" s="108" t="s">
        <v>301</v>
      </c>
      <c r="D203" s="108" t="s">
        <v>278</v>
      </c>
      <c r="E203" s="108" t="s">
        <v>400</v>
      </c>
      <c r="F203" s="108" t="s">
        <v>254</v>
      </c>
      <c r="G203" s="109">
        <v>20388.7</v>
      </c>
      <c r="H203" s="113">
        <f>1400.3+1670</f>
        <v>3070.3</v>
      </c>
      <c r="I203" s="113"/>
      <c r="J203" s="113"/>
      <c r="K203" s="114">
        <v>345.51</v>
      </c>
      <c r="L203" s="113">
        <f>1227.8-1000</f>
        <v>227.79999999999995</v>
      </c>
      <c r="M203" s="114"/>
      <c r="N203" s="115"/>
      <c r="O203" s="116"/>
      <c r="P203" s="116"/>
      <c r="Q203" s="116"/>
      <c r="R203" s="116"/>
      <c r="S203" s="116"/>
      <c r="T203" s="116"/>
      <c r="U203" s="116"/>
      <c r="V203" s="114">
        <f>G203+H203+I203+J203+K203+L203</f>
        <v>24032.309999999998</v>
      </c>
      <c r="W203" s="104"/>
    </row>
    <row r="204" spans="1:23" ht="25.5">
      <c r="A204" s="128" t="s">
        <v>401</v>
      </c>
      <c r="B204" s="108" t="s">
        <v>216</v>
      </c>
      <c r="C204" s="108" t="s">
        <v>301</v>
      </c>
      <c r="D204" s="108" t="s">
        <v>278</v>
      </c>
      <c r="E204" s="108" t="s">
        <v>402</v>
      </c>
      <c r="F204" s="108"/>
      <c r="G204" s="109"/>
      <c r="H204" s="113"/>
      <c r="I204" s="113"/>
      <c r="J204" s="113"/>
      <c r="K204" s="114">
        <f>K205</f>
        <v>1000</v>
      </c>
      <c r="L204" s="113">
        <f>L205</f>
        <v>0</v>
      </c>
      <c r="M204" s="114">
        <f>M205</f>
        <v>0</v>
      </c>
      <c r="N204" s="115"/>
      <c r="O204" s="116"/>
      <c r="P204" s="116"/>
      <c r="Q204" s="116"/>
      <c r="R204" s="116"/>
      <c r="S204" s="116"/>
      <c r="T204" s="116"/>
      <c r="U204" s="116"/>
      <c r="V204" s="114">
        <f>V205</f>
        <v>1000</v>
      </c>
      <c r="W204" s="104"/>
    </row>
    <row r="205" spans="1:23" ht="25.5">
      <c r="A205" s="107" t="s">
        <v>221</v>
      </c>
      <c r="B205" s="108" t="s">
        <v>216</v>
      </c>
      <c r="C205" s="108" t="s">
        <v>301</v>
      </c>
      <c r="D205" s="108" t="s">
        <v>278</v>
      </c>
      <c r="E205" s="108" t="s">
        <v>402</v>
      </c>
      <c r="F205" s="108" t="s">
        <v>229</v>
      </c>
      <c r="G205" s="109"/>
      <c r="H205" s="113"/>
      <c r="I205" s="113"/>
      <c r="J205" s="113"/>
      <c r="K205" s="114">
        <v>1000</v>
      </c>
      <c r="L205" s="113"/>
      <c r="M205" s="114"/>
      <c r="N205" s="115"/>
      <c r="O205" s="116"/>
      <c r="P205" s="116"/>
      <c r="Q205" s="116"/>
      <c r="R205" s="116"/>
      <c r="S205" s="116"/>
      <c r="T205" s="116"/>
      <c r="U205" s="116"/>
      <c r="V205" s="114">
        <f>K205</f>
        <v>1000</v>
      </c>
      <c r="W205" s="104"/>
    </row>
    <row r="206" spans="1:23" ht="89.25">
      <c r="A206" s="107" t="s">
        <v>403</v>
      </c>
      <c r="B206" s="108" t="s">
        <v>216</v>
      </c>
      <c r="C206" s="108" t="s">
        <v>301</v>
      </c>
      <c r="D206" s="108" t="s">
        <v>278</v>
      </c>
      <c r="E206" s="108" t="s">
        <v>404</v>
      </c>
      <c r="F206" s="108"/>
      <c r="G206" s="109">
        <f aca="true" t="shared" si="77" ref="G206:O207">G207</f>
        <v>33098.4</v>
      </c>
      <c r="H206" s="109">
        <f t="shared" si="77"/>
        <v>0</v>
      </c>
      <c r="I206" s="109">
        <f t="shared" si="77"/>
        <v>0</v>
      </c>
      <c r="J206" s="109">
        <f t="shared" si="77"/>
        <v>0</v>
      </c>
      <c r="K206" s="110">
        <f t="shared" si="77"/>
        <v>34.40686</v>
      </c>
      <c r="L206" s="109">
        <f t="shared" si="77"/>
        <v>0</v>
      </c>
      <c r="M206" s="110">
        <f t="shared" si="77"/>
        <v>0</v>
      </c>
      <c r="N206" s="111">
        <f t="shared" si="77"/>
        <v>0</v>
      </c>
      <c r="O206" s="112">
        <f t="shared" si="77"/>
        <v>70</v>
      </c>
      <c r="P206" s="112"/>
      <c r="Q206" s="112"/>
      <c r="R206" s="112"/>
      <c r="S206" s="112"/>
      <c r="T206" s="112"/>
      <c r="U206" s="112"/>
      <c r="V206" s="110">
        <f>V207</f>
        <v>33202.806860000004</v>
      </c>
      <c r="W206" s="104"/>
    </row>
    <row r="207" spans="1:23" ht="25.5">
      <c r="A207" s="107" t="s">
        <v>251</v>
      </c>
      <c r="B207" s="108" t="s">
        <v>216</v>
      </c>
      <c r="C207" s="108" t="s">
        <v>301</v>
      </c>
      <c r="D207" s="108" t="s">
        <v>278</v>
      </c>
      <c r="E207" s="108" t="s">
        <v>405</v>
      </c>
      <c r="F207" s="108"/>
      <c r="G207" s="109">
        <f t="shared" si="77"/>
        <v>33098.4</v>
      </c>
      <c r="H207" s="109">
        <f t="shared" si="77"/>
        <v>0</v>
      </c>
      <c r="I207" s="109">
        <f t="shared" si="77"/>
        <v>0</v>
      </c>
      <c r="J207" s="109">
        <f t="shared" si="77"/>
        <v>0</v>
      </c>
      <c r="K207" s="110">
        <f t="shared" si="77"/>
        <v>34.40686</v>
      </c>
      <c r="L207" s="109">
        <f t="shared" si="77"/>
        <v>0</v>
      </c>
      <c r="M207" s="110">
        <f t="shared" si="77"/>
        <v>0</v>
      </c>
      <c r="N207" s="111">
        <f t="shared" si="77"/>
        <v>0</v>
      </c>
      <c r="O207" s="112">
        <f t="shared" si="77"/>
        <v>70</v>
      </c>
      <c r="P207" s="112"/>
      <c r="Q207" s="112"/>
      <c r="R207" s="112"/>
      <c r="S207" s="112"/>
      <c r="T207" s="112"/>
      <c r="U207" s="112"/>
      <c r="V207" s="110">
        <f>V208</f>
        <v>33202.806860000004</v>
      </c>
      <c r="W207" s="104"/>
    </row>
    <row r="208" spans="1:23" ht="25.5">
      <c r="A208" s="107" t="s">
        <v>253</v>
      </c>
      <c r="B208" s="108" t="s">
        <v>216</v>
      </c>
      <c r="C208" s="108" t="s">
        <v>301</v>
      </c>
      <c r="D208" s="108" t="s">
        <v>278</v>
      </c>
      <c r="E208" s="108" t="s">
        <v>405</v>
      </c>
      <c r="F208" s="108" t="s">
        <v>254</v>
      </c>
      <c r="G208" s="109">
        <v>33098.4</v>
      </c>
      <c r="H208" s="113"/>
      <c r="I208" s="113"/>
      <c r="J208" s="113"/>
      <c r="K208" s="114">
        <f>75-40.59314</f>
        <v>34.40686</v>
      </c>
      <c r="L208" s="113"/>
      <c r="M208" s="114"/>
      <c r="N208" s="115"/>
      <c r="O208" s="116">
        <v>70</v>
      </c>
      <c r="P208" s="116"/>
      <c r="Q208" s="116"/>
      <c r="R208" s="116"/>
      <c r="S208" s="116"/>
      <c r="T208" s="116"/>
      <c r="U208" s="116"/>
      <c r="V208" s="114">
        <f>G208+H208+I208+K208+O208</f>
        <v>33202.806860000004</v>
      </c>
      <c r="W208" s="104"/>
    </row>
    <row r="209" spans="1:23" ht="25.5">
      <c r="A209" s="107" t="s">
        <v>265</v>
      </c>
      <c r="B209" s="108" t="s">
        <v>216</v>
      </c>
      <c r="C209" s="108" t="s">
        <v>301</v>
      </c>
      <c r="D209" s="108" t="s">
        <v>278</v>
      </c>
      <c r="E209" s="108" t="s">
        <v>266</v>
      </c>
      <c r="F209" s="108"/>
      <c r="G209" s="109">
        <f aca="true" t="shared" si="78" ref="G209:M209">G210</f>
        <v>0</v>
      </c>
      <c r="H209" s="109">
        <f t="shared" si="78"/>
        <v>1000</v>
      </c>
      <c r="I209" s="109">
        <f t="shared" si="78"/>
        <v>0</v>
      </c>
      <c r="J209" s="109">
        <f t="shared" si="78"/>
        <v>0</v>
      </c>
      <c r="K209" s="110">
        <f t="shared" si="78"/>
        <v>-1000</v>
      </c>
      <c r="L209" s="109">
        <f t="shared" si="78"/>
        <v>0</v>
      </c>
      <c r="M209" s="110">
        <f t="shared" si="78"/>
        <v>0</v>
      </c>
      <c r="N209" s="111"/>
      <c r="O209" s="112"/>
      <c r="P209" s="112"/>
      <c r="Q209" s="112"/>
      <c r="R209" s="112"/>
      <c r="S209" s="112"/>
      <c r="T209" s="112"/>
      <c r="U209" s="112"/>
      <c r="V209" s="110">
        <f>V210</f>
        <v>0</v>
      </c>
      <c r="W209" s="104"/>
    </row>
    <row r="210" spans="1:23" ht="25.5">
      <c r="A210" s="107" t="s">
        <v>221</v>
      </c>
      <c r="B210" s="108" t="s">
        <v>216</v>
      </c>
      <c r="C210" s="108" t="s">
        <v>301</v>
      </c>
      <c r="D210" s="108" t="s">
        <v>278</v>
      </c>
      <c r="E210" s="108" t="s">
        <v>266</v>
      </c>
      <c r="F210" s="108" t="s">
        <v>229</v>
      </c>
      <c r="G210" s="109"/>
      <c r="H210" s="113">
        <v>1000</v>
      </c>
      <c r="I210" s="113"/>
      <c r="J210" s="113"/>
      <c r="K210" s="114">
        <v>-1000</v>
      </c>
      <c r="L210" s="113"/>
      <c r="M210" s="114"/>
      <c r="N210" s="115"/>
      <c r="O210" s="116"/>
      <c r="P210" s="116"/>
      <c r="Q210" s="116"/>
      <c r="R210" s="116"/>
      <c r="S210" s="116"/>
      <c r="T210" s="116"/>
      <c r="U210" s="116"/>
      <c r="V210" s="114">
        <f>H210+K210</f>
        <v>0</v>
      </c>
      <c r="W210" s="104"/>
    </row>
    <row r="211" spans="1:23" ht="25.5">
      <c r="A211" s="105" t="s">
        <v>406</v>
      </c>
      <c r="B211" s="106"/>
      <c r="C211" s="106" t="s">
        <v>306</v>
      </c>
      <c r="D211" s="106"/>
      <c r="E211" s="106"/>
      <c r="F211" s="106"/>
      <c r="G211" s="39">
        <f aca="true" t="shared" si="79" ref="G211:M211">G217+G225+G212+G222</f>
        <v>13776</v>
      </c>
      <c r="H211" s="39">
        <f t="shared" si="79"/>
        <v>16217.42</v>
      </c>
      <c r="I211" s="39">
        <f t="shared" si="79"/>
        <v>0</v>
      </c>
      <c r="J211" s="39">
        <f t="shared" si="79"/>
        <v>1565.38502</v>
      </c>
      <c r="K211" s="101">
        <f t="shared" si="79"/>
        <v>0</v>
      </c>
      <c r="L211" s="39">
        <f t="shared" si="79"/>
        <v>708</v>
      </c>
      <c r="M211" s="101">
        <f t="shared" si="79"/>
        <v>0</v>
      </c>
      <c r="N211" s="102">
        <f aca="true" t="shared" si="80" ref="N211:U211">N217+N225+N212+N222+N215</f>
        <v>349.5</v>
      </c>
      <c r="O211" s="103">
        <f t="shared" si="80"/>
        <v>0</v>
      </c>
      <c r="P211" s="103">
        <f t="shared" si="80"/>
        <v>0</v>
      </c>
      <c r="Q211" s="103">
        <f t="shared" si="80"/>
        <v>-250</v>
      </c>
      <c r="R211" s="103">
        <f t="shared" si="80"/>
        <v>0</v>
      </c>
      <c r="S211" s="103">
        <f t="shared" si="80"/>
        <v>0</v>
      </c>
      <c r="T211" s="103">
        <f t="shared" si="80"/>
        <v>0</v>
      </c>
      <c r="U211" s="103">
        <f t="shared" si="80"/>
        <v>700</v>
      </c>
      <c r="V211" s="103">
        <f>V217+V225+V212+V222+V215</f>
        <v>33066.30502</v>
      </c>
      <c r="W211" s="104"/>
    </row>
    <row r="212" spans="1:23" ht="38.25">
      <c r="A212" s="107" t="s">
        <v>407</v>
      </c>
      <c r="B212" s="108" t="s">
        <v>216</v>
      </c>
      <c r="C212" s="108" t="s">
        <v>306</v>
      </c>
      <c r="D212" s="108" t="s">
        <v>211</v>
      </c>
      <c r="E212" s="108" t="s">
        <v>408</v>
      </c>
      <c r="F212" s="106"/>
      <c r="G212" s="109">
        <f aca="true" t="shared" si="81" ref="G212:M213">G213</f>
        <v>10331.8</v>
      </c>
      <c r="H212" s="109">
        <f t="shared" si="81"/>
        <v>0</v>
      </c>
      <c r="I212" s="109">
        <f t="shared" si="81"/>
        <v>0</v>
      </c>
      <c r="J212" s="109">
        <f t="shared" si="81"/>
        <v>220</v>
      </c>
      <c r="K212" s="110">
        <f t="shared" si="81"/>
        <v>0</v>
      </c>
      <c r="L212" s="109">
        <f t="shared" si="81"/>
        <v>185</v>
      </c>
      <c r="M212" s="110">
        <f t="shared" si="81"/>
        <v>0</v>
      </c>
      <c r="N212" s="111"/>
      <c r="O212" s="112"/>
      <c r="P212" s="112"/>
      <c r="Q212" s="112"/>
      <c r="R212" s="112"/>
      <c r="S212" s="112"/>
      <c r="T212" s="112"/>
      <c r="U212" s="112"/>
      <c r="V212" s="110">
        <f>V213</f>
        <v>10736.8</v>
      </c>
      <c r="W212" s="104"/>
    </row>
    <row r="213" spans="1:23" ht="25.5">
      <c r="A213" s="107" t="s">
        <v>251</v>
      </c>
      <c r="B213" s="108" t="s">
        <v>216</v>
      </c>
      <c r="C213" s="108" t="s">
        <v>306</v>
      </c>
      <c r="D213" s="108" t="s">
        <v>211</v>
      </c>
      <c r="E213" s="108" t="s">
        <v>409</v>
      </c>
      <c r="F213" s="106"/>
      <c r="G213" s="109">
        <f t="shared" si="81"/>
        <v>10331.8</v>
      </c>
      <c r="H213" s="109">
        <f t="shared" si="81"/>
        <v>0</v>
      </c>
      <c r="I213" s="109">
        <f t="shared" si="81"/>
        <v>0</v>
      </c>
      <c r="J213" s="109">
        <f t="shared" si="81"/>
        <v>220</v>
      </c>
      <c r="K213" s="110">
        <f t="shared" si="81"/>
        <v>0</v>
      </c>
      <c r="L213" s="109">
        <f t="shared" si="81"/>
        <v>185</v>
      </c>
      <c r="M213" s="110">
        <f t="shared" si="81"/>
        <v>0</v>
      </c>
      <c r="N213" s="111"/>
      <c r="O213" s="112"/>
      <c r="P213" s="112"/>
      <c r="Q213" s="112"/>
      <c r="R213" s="112"/>
      <c r="S213" s="112"/>
      <c r="T213" s="112"/>
      <c r="U213" s="112"/>
      <c r="V213" s="110">
        <f>V214</f>
        <v>10736.8</v>
      </c>
      <c r="W213" s="104"/>
    </row>
    <row r="214" spans="1:23" ht="25.5">
      <c r="A214" s="107" t="s">
        <v>253</v>
      </c>
      <c r="B214" s="108" t="s">
        <v>216</v>
      </c>
      <c r="C214" s="108" t="s">
        <v>306</v>
      </c>
      <c r="D214" s="108" t="s">
        <v>211</v>
      </c>
      <c r="E214" s="108" t="s">
        <v>409</v>
      </c>
      <c r="F214" s="108" t="s">
        <v>254</v>
      </c>
      <c r="G214" s="109">
        <v>10331.8</v>
      </c>
      <c r="H214" s="113"/>
      <c r="I214" s="113"/>
      <c r="J214" s="113">
        <f>545-325</f>
        <v>220</v>
      </c>
      <c r="K214" s="114"/>
      <c r="L214" s="113">
        <v>185</v>
      </c>
      <c r="M214" s="114"/>
      <c r="N214" s="115"/>
      <c r="O214" s="116"/>
      <c r="P214" s="116"/>
      <c r="Q214" s="116"/>
      <c r="R214" s="116"/>
      <c r="S214" s="116"/>
      <c r="T214" s="116"/>
      <c r="U214" s="116"/>
      <c r="V214" s="114">
        <f>G214+H214+I214+J214+L214</f>
        <v>10736.8</v>
      </c>
      <c r="W214" s="104"/>
    </row>
    <row r="215" spans="1:23" ht="63.75">
      <c r="A215" s="128" t="s">
        <v>378</v>
      </c>
      <c r="B215" s="108" t="s">
        <v>216</v>
      </c>
      <c r="C215" s="108" t="s">
        <v>306</v>
      </c>
      <c r="D215" s="108" t="s">
        <v>211</v>
      </c>
      <c r="E215" s="108" t="s">
        <v>379</v>
      </c>
      <c r="F215" s="108"/>
      <c r="G215" s="109"/>
      <c r="H215" s="113"/>
      <c r="I215" s="113"/>
      <c r="J215" s="113"/>
      <c r="K215" s="114"/>
      <c r="L215" s="113"/>
      <c r="M215" s="114"/>
      <c r="N215" s="115">
        <f>N216</f>
        <v>250</v>
      </c>
      <c r="O215" s="116">
        <f>O216</f>
        <v>0</v>
      </c>
      <c r="P215" s="116"/>
      <c r="Q215" s="116">
        <f>Q216</f>
        <v>-250</v>
      </c>
      <c r="R215" s="116"/>
      <c r="S215" s="116"/>
      <c r="T215" s="116"/>
      <c r="U215" s="116"/>
      <c r="V215" s="116">
        <f>V216</f>
        <v>0</v>
      </c>
      <c r="W215" s="104"/>
    </row>
    <row r="216" spans="1:23" ht="25.5">
      <c r="A216" s="107" t="s">
        <v>253</v>
      </c>
      <c r="B216" s="108" t="s">
        <v>216</v>
      </c>
      <c r="C216" s="108" t="s">
        <v>306</v>
      </c>
      <c r="D216" s="108" t="s">
        <v>211</v>
      </c>
      <c r="E216" s="108" t="s">
        <v>379</v>
      </c>
      <c r="F216" s="108" t="s">
        <v>254</v>
      </c>
      <c r="G216" s="109"/>
      <c r="H216" s="113"/>
      <c r="I216" s="113"/>
      <c r="J216" s="113"/>
      <c r="K216" s="114"/>
      <c r="L216" s="113"/>
      <c r="M216" s="114"/>
      <c r="N216" s="115">
        <v>250</v>
      </c>
      <c r="O216" s="116"/>
      <c r="P216" s="116"/>
      <c r="Q216" s="116">
        <v>-250</v>
      </c>
      <c r="R216" s="116"/>
      <c r="S216" s="116"/>
      <c r="T216" s="116"/>
      <c r="U216" s="116"/>
      <c r="V216" s="114">
        <f>N216+Q216</f>
        <v>0</v>
      </c>
      <c r="W216" s="104"/>
    </row>
    <row r="217" spans="1:23" ht="12.75">
      <c r="A217" s="105" t="s">
        <v>410</v>
      </c>
      <c r="B217" s="106" t="s">
        <v>216</v>
      </c>
      <c r="C217" s="106" t="s">
        <v>306</v>
      </c>
      <c r="D217" s="106" t="s">
        <v>211</v>
      </c>
      <c r="E217" s="106" t="s">
        <v>411</v>
      </c>
      <c r="F217" s="106"/>
      <c r="G217" s="39">
        <f aca="true" t="shared" si="82" ref="G217:M217">G220</f>
        <v>2844.2</v>
      </c>
      <c r="H217" s="39">
        <f t="shared" si="82"/>
        <v>16217.42</v>
      </c>
      <c r="I217" s="39">
        <f t="shared" si="82"/>
        <v>0</v>
      </c>
      <c r="J217" s="39">
        <f t="shared" si="82"/>
        <v>1020.3850199999999</v>
      </c>
      <c r="K217" s="101">
        <f t="shared" si="82"/>
        <v>0</v>
      </c>
      <c r="L217" s="39">
        <f t="shared" si="82"/>
        <v>0</v>
      </c>
      <c r="M217" s="101">
        <f t="shared" si="82"/>
        <v>0</v>
      </c>
      <c r="N217" s="102">
        <f aca="true" t="shared" si="83" ref="N217:V217">N220+N218</f>
        <v>99.5</v>
      </c>
      <c r="O217" s="103">
        <f t="shared" si="83"/>
        <v>0</v>
      </c>
      <c r="P217" s="103">
        <f t="shared" si="83"/>
        <v>0</v>
      </c>
      <c r="Q217" s="103">
        <f t="shared" si="83"/>
        <v>0</v>
      </c>
      <c r="R217" s="103">
        <f t="shared" si="83"/>
        <v>0</v>
      </c>
      <c r="S217" s="103">
        <f t="shared" si="83"/>
        <v>0</v>
      </c>
      <c r="T217" s="103">
        <f t="shared" si="83"/>
        <v>0</v>
      </c>
      <c r="U217" s="103"/>
      <c r="V217" s="101">
        <f t="shared" si="83"/>
        <v>20181.50502</v>
      </c>
      <c r="W217" s="104"/>
    </row>
    <row r="218" spans="1:23" ht="63.75">
      <c r="A218" s="155" t="s">
        <v>412</v>
      </c>
      <c r="B218" s="108" t="s">
        <v>216</v>
      </c>
      <c r="C218" s="108" t="s">
        <v>306</v>
      </c>
      <c r="D218" s="108" t="s">
        <v>211</v>
      </c>
      <c r="E218" s="108" t="s">
        <v>413</v>
      </c>
      <c r="F218" s="108"/>
      <c r="G218" s="109"/>
      <c r="H218" s="109"/>
      <c r="I218" s="109"/>
      <c r="J218" s="109"/>
      <c r="K218" s="110"/>
      <c r="L218" s="109"/>
      <c r="M218" s="110"/>
      <c r="N218" s="111">
        <f>N219</f>
        <v>99.5</v>
      </c>
      <c r="O218" s="112">
        <f>O219</f>
        <v>0</v>
      </c>
      <c r="P218" s="112"/>
      <c r="Q218" s="112"/>
      <c r="R218" s="112"/>
      <c r="S218" s="112"/>
      <c r="T218" s="112"/>
      <c r="U218" s="112"/>
      <c r="V218" s="112">
        <f>V219</f>
        <v>99.5</v>
      </c>
      <c r="W218" s="104"/>
    </row>
    <row r="219" spans="1:23" ht="25.5">
      <c r="A219" s="107" t="s">
        <v>253</v>
      </c>
      <c r="B219" s="108" t="s">
        <v>216</v>
      </c>
      <c r="C219" s="108" t="s">
        <v>306</v>
      </c>
      <c r="D219" s="108" t="s">
        <v>211</v>
      </c>
      <c r="E219" s="108" t="s">
        <v>413</v>
      </c>
      <c r="F219" s="108" t="s">
        <v>254</v>
      </c>
      <c r="G219" s="109"/>
      <c r="H219" s="109"/>
      <c r="I219" s="109"/>
      <c r="J219" s="109"/>
      <c r="K219" s="110"/>
      <c r="L219" s="109"/>
      <c r="M219" s="110"/>
      <c r="N219" s="111">
        <v>99.5</v>
      </c>
      <c r="O219" s="112"/>
      <c r="P219" s="112"/>
      <c r="Q219" s="112"/>
      <c r="R219" s="112"/>
      <c r="S219" s="112"/>
      <c r="T219" s="112"/>
      <c r="U219" s="112"/>
      <c r="V219" s="110">
        <f>N219</f>
        <v>99.5</v>
      </c>
      <c r="W219" s="104"/>
    </row>
    <row r="220" spans="1:23" ht="25.5">
      <c r="A220" s="107" t="s">
        <v>251</v>
      </c>
      <c r="B220" s="108" t="s">
        <v>216</v>
      </c>
      <c r="C220" s="108" t="s">
        <v>306</v>
      </c>
      <c r="D220" s="108" t="s">
        <v>211</v>
      </c>
      <c r="E220" s="108" t="s">
        <v>414</v>
      </c>
      <c r="F220" s="108"/>
      <c r="G220" s="109">
        <f aca="true" t="shared" si="84" ref="G220:M220">G221</f>
        <v>2844.2</v>
      </c>
      <c r="H220" s="109">
        <f t="shared" si="84"/>
        <v>16217.42</v>
      </c>
      <c r="I220" s="109">
        <f t="shared" si="84"/>
        <v>0</v>
      </c>
      <c r="J220" s="109">
        <f t="shared" si="84"/>
        <v>1020.3850199999999</v>
      </c>
      <c r="K220" s="110">
        <f t="shared" si="84"/>
        <v>0</v>
      </c>
      <c r="L220" s="109">
        <f t="shared" si="84"/>
        <v>0</v>
      </c>
      <c r="M220" s="110">
        <f t="shared" si="84"/>
        <v>0</v>
      </c>
      <c r="N220" s="111"/>
      <c r="O220" s="112"/>
      <c r="P220" s="112"/>
      <c r="Q220" s="112"/>
      <c r="R220" s="112"/>
      <c r="S220" s="112"/>
      <c r="T220" s="112"/>
      <c r="U220" s="112"/>
      <c r="V220" s="110">
        <f>V221</f>
        <v>20082.00502</v>
      </c>
      <c r="W220" s="104"/>
    </row>
    <row r="221" spans="1:23" ht="25.5">
      <c r="A221" s="107" t="s">
        <v>253</v>
      </c>
      <c r="B221" s="108" t="s">
        <v>216</v>
      </c>
      <c r="C221" s="108" t="s">
        <v>306</v>
      </c>
      <c r="D221" s="108" t="s">
        <v>211</v>
      </c>
      <c r="E221" s="108" t="s">
        <v>414</v>
      </c>
      <c r="F221" s="108" t="s">
        <v>254</v>
      </c>
      <c r="G221" s="109">
        <v>2844.2</v>
      </c>
      <c r="H221" s="113">
        <v>16217.42</v>
      </c>
      <c r="I221" s="113"/>
      <c r="J221" s="113">
        <f>62.38502+700+258</f>
        <v>1020.3850199999999</v>
      </c>
      <c r="K221" s="114"/>
      <c r="L221" s="113"/>
      <c r="M221" s="114"/>
      <c r="N221" s="115"/>
      <c r="O221" s="116"/>
      <c r="P221" s="116"/>
      <c r="Q221" s="116"/>
      <c r="R221" s="116"/>
      <c r="S221" s="116"/>
      <c r="T221" s="116"/>
      <c r="U221" s="116"/>
      <c r="V221" s="114">
        <f>G221+H221+I221+J221</f>
        <v>20082.00502</v>
      </c>
      <c r="W221" s="104"/>
    </row>
    <row r="222" spans="1:23" ht="38.25">
      <c r="A222" s="117" t="s">
        <v>415</v>
      </c>
      <c r="B222" s="106"/>
      <c r="C222" s="106" t="s">
        <v>306</v>
      </c>
      <c r="D222" s="106" t="s">
        <v>224</v>
      </c>
      <c r="E222" s="106"/>
      <c r="F222" s="106"/>
      <c r="G222" s="109"/>
      <c r="H222" s="113"/>
      <c r="I222" s="122">
        <f aca="true" t="shared" si="85" ref="I222:V223">I223</f>
        <v>600</v>
      </c>
      <c r="J222" s="122">
        <f t="shared" si="85"/>
        <v>325</v>
      </c>
      <c r="K222" s="123">
        <f t="shared" si="85"/>
        <v>0</v>
      </c>
      <c r="L222" s="122">
        <f t="shared" si="85"/>
        <v>523</v>
      </c>
      <c r="M222" s="123">
        <f t="shared" si="85"/>
        <v>0</v>
      </c>
      <c r="N222" s="122">
        <f t="shared" si="85"/>
        <v>0</v>
      </c>
      <c r="O222" s="122">
        <f t="shared" si="85"/>
        <v>0</v>
      </c>
      <c r="P222" s="123">
        <f t="shared" si="85"/>
        <v>0</v>
      </c>
      <c r="Q222" s="123">
        <f t="shared" si="85"/>
        <v>0</v>
      </c>
      <c r="R222" s="122">
        <f t="shared" si="85"/>
        <v>0</v>
      </c>
      <c r="S222" s="122">
        <f t="shared" si="85"/>
        <v>0</v>
      </c>
      <c r="T222" s="122">
        <f t="shared" si="85"/>
        <v>0</v>
      </c>
      <c r="U222" s="122">
        <f t="shared" si="85"/>
        <v>700</v>
      </c>
      <c r="V222" s="123">
        <f t="shared" si="85"/>
        <v>2148</v>
      </c>
      <c r="W222" s="104"/>
    </row>
    <row r="223" spans="1:23" ht="25.5">
      <c r="A223" s="118" t="s">
        <v>265</v>
      </c>
      <c r="B223" s="108" t="s">
        <v>216</v>
      </c>
      <c r="C223" s="108" t="s">
        <v>306</v>
      </c>
      <c r="D223" s="108" t="s">
        <v>224</v>
      </c>
      <c r="E223" s="108" t="s">
        <v>266</v>
      </c>
      <c r="F223" s="108"/>
      <c r="G223" s="109"/>
      <c r="H223" s="113"/>
      <c r="I223" s="113">
        <f>I224</f>
        <v>600</v>
      </c>
      <c r="J223" s="113">
        <f>J224</f>
        <v>325</v>
      </c>
      <c r="K223" s="114">
        <f>K224</f>
        <v>0</v>
      </c>
      <c r="L223" s="113">
        <f>L224</f>
        <v>523</v>
      </c>
      <c r="M223" s="114">
        <f>M224</f>
        <v>0</v>
      </c>
      <c r="N223" s="114">
        <f t="shared" si="85"/>
        <v>0</v>
      </c>
      <c r="O223" s="114">
        <f t="shared" si="85"/>
        <v>0</v>
      </c>
      <c r="P223" s="114">
        <f t="shared" si="85"/>
        <v>0</v>
      </c>
      <c r="Q223" s="114">
        <f t="shared" si="85"/>
        <v>0</v>
      </c>
      <c r="R223" s="114">
        <f t="shared" si="85"/>
        <v>0</v>
      </c>
      <c r="S223" s="114">
        <f t="shared" si="85"/>
        <v>0</v>
      </c>
      <c r="T223" s="114">
        <f t="shared" si="85"/>
        <v>0</v>
      </c>
      <c r="U223" s="114">
        <f t="shared" si="85"/>
        <v>700</v>
      </c>
      <c r="V223" s="114">
        <f>V224</f>
        <v>2148</v>
      </c>
      <c r="W223" s="104"/>
    </row>
    <row r="224" spans="1:23" ht="25.5">
      <c r="A224" s="107" t="s">
        <v>221</v>
      </c>
      <c r="B224" s="108" t="s">
        <v>216</v>
      </c>
      <c r="C224" s="108" t="s">
        <v>306</v>
      </c>
      <c r="D224" s="108" t="s">
        <v>224</v>
      </c>
      <c r="E224" s="108" t="s">
        <v>266</v>
      </c>
      <c r="F224" s="108" t="s">
        <v>229</v>
      </c>
      <c r="G224" s="109"/>
      <c r="H224" s="113"/>
      <c r="I224" s="113">
        <v>600</v>
      </c>
      <c r="J224" s="113">
        <v>325</v>
      </c>
      <c r="K224" s="114"/>
      <c r="L224" s="113">
        <v>523</v>
      </c>
      <c r="M224" s="114"/>
      <c r="N224" s="115"/>
      <c r="O224" s="116"/>
      <c r="P224" s="116"/>
      <c r="Q224" s="116"/>
      <c r="R224" s="116"/>
      <c r="S224" s="116"/>
      <c r="T224" s="116"/>
      <c r="U224" s="116">
        <v>700</v>
      </c>
      <c r="V224" s="114">
        <f>G224+H224+I224+L224+J224+U224</f>
        <v>2148</v>
      </c>
      <c r="W224" s="104"/>
    </row>
    <row r="225" spans="1:23" ht="38.25">
      <c r="A225" s="117" t="s">
        <v>415</v>
      </c>
      <c r="B225" s="106"/>
      <c r="C225" s="106" t="s">
        <v>306</v>
      </c>
      <c r="D225" s="106" t="s">
        <v>231</v>
      </c>
      <c r="E225" s="106"/>
      <c r="F225" s="106"/>
      <c r="G225" s="39">
        <f aca="true" t="shared" si="86" ref="G225:V225">G226</f>
        <v>600</v>
      </c>
      <c r="H225" s="39">
        <f t="shared" si="86"/>
        <v>0</v>
      </c>
      <c r="I225" s="39">
        <f t="shared" si="86"/>
        <v>-600</v>
      </c>
      <c r="J225" s="39">
        <f t="shared" si="86"/>
        <v>0</v>
      </c>
      <c r="K225" s="101">
        <f t="shared" si="86"/>
        <v>0</v>
      </c>
      <c r="L225" s="39">
        <f t="shared" si="86"/>
        <v>0</v>
      </c>
      <c r="M225" s="101">
        <f t="shared" si="86"/>
        <v>0</v>
      </c>
      <c r="N225" s="39">
        <f t="shared" si="86"/>
        <v>0</v>
      </c>
      <c r="O225" s="39">
        <f t="shared" si="86"/>
        <v>0</v>
      </c>
      <c r="P225" s="101">
        <f t="shared" si="86"/>
        <v>0</v>
      </c>
      <c r="Q225" s="101">
        <f t="shared" si="86"/>
        <v>0</v>
      </c>
      <c r="R225" s="39">
        <f t="shared" si="86"/>
        <v>0</v>
      </c>
      <c r="S225" s="39">
        <f t="shared" si="86"/>
        <v>0</v>
      </c>
      <c r="T225" s="39">
        <f t="shared" si="86"/>
        <v>0</v>
      </c>
      <c r="U225" s="39">
        <f t="shared" si="86"/>
        <v>0</v>
      </c>
      <c r="V225" s="101">
        <f t="shared" si="86"/>
        <v>0</v>
      </c>
      <c r="W225" s="104"/>
    </row>
    <row r="226" spans="1:23" ht="25.5">
      <c r="A226" s="118" t="s">
        <v>265</v>
      </c>
      <c r="B226" s="108" t="s">
        <v>216</v>
      </c>
      <c r="C226" s="108" t="s">
        <v>306</v>
      </c>
      <c r="D226" s="108" t="s">
        <v>231</v>
      </c>
      <c r="E226" s="108" t="s">
        <v>266</v>
      </c>
      <c r="F226" s="108"/>
      <c r="G226" s="109">
        <f aca="true" t="shared" si="87" ref="G226:U226">G227</f>
        <v>600</v>
      </c>
      <c r="H226" s="109">
        <f t="shared" si="87"/>
        <v>0</v>
      </c>
      <c r="I226" s="109">
        <f t="shared" si="87"/>
        <v>-600</v>
      </c>
      <c r="J226" s="109">
        <f t="shared" si="87"/>
        <v>0</v>
      </c>
      <c r="K226" s="110">
        <f t="shared" si="87"/>
        <v>0</v>
      </c>
      <c r="L226" s="109">
        <f t="shared" si="87"/>
        <v>0</v>
      </c>
      <c r="M226" s="110">
        <f t="shared" si="87"/>
        <v>0</v>
      </c>
      <c r="N226" s="110">
        <f t="shared" si="87"/>
        <v>0</v>
      </c>
      <c r="O226" s="110">
        <f t="shared" si="87"/>
        <v>0</v>
      </c>
      <c r="P226" s="110">
        <f t="shared" si="87"/>
        <v>0</v>
      </c>
      <c r="Q226" s="110">
        <f t="shared" si="87"/>
        <v>0</v>
      </c>
      <c r="R226" s="110">
        <f t="shared" si="87"/>
        <v>0</v>
      </c>
      <c r="S226" s="110">
        <f t="shared" si="87"/>
        <v>0</v>
      </c>
      <c r="T226" s="110">
        <f t="shared" si="87"/>
        <v>0</v>
      </c>
      <c r="U226" s="110">
        <f t="shared" si="87"/>
        <v>0</v>
      </c>
      <c r="V226" s="110">
        <f>V227</f>
        <v>0</v>
      </c>
      <c r="W226" s="104"/>
    </row>
    <row r="227" spans="1:23" ht="25.5">
      <c r="A227" s="107" t="s">
        <v>221</v>
      </c>
      <c r="B227" s="108" t="s">
        <v>216</v>
      </c>
      <c r="C227" s="108" t="s">
        <v>306</v>
      </c>
      <c r="D227" s="108" t="s">
        <v>231</v>
      </c>
      <c r="E227" s="108" t="s">
        <v>266</v>
      </c>
      <c r="F227" s="108" t="s">
        <v>229</v>
      </c>
      <c r="G227" s="109">
        <v>600</v>
      </c>
      <c r="H227" s="113"/>
      <c r="I227" s="113">
        <v>-600</v>
      </c>
      <c r="J227" s="113"/>
      <c r="K227" s="114"/>
      <c r="L227" s="113"/>
      <c r="M227" s="114"/>
      <c r="N227" s="115"/>
      <c r="O227" s="116"/>
      <c r="P227" s="116"/>
      <c r="Q227" s="116"/>
      <c r="R227" s="116"/>
      <c r="S227" s="116"/>
      <c r="T227" s="116"/>
      <c r="U227" s="116"/>
      <c r="V227" s="114">
        <f>G227+H227+I227+U227</f>
        <v>0</v>
      </c>
      <c r="W227" s="104"/>
    </row>
    <row r="228" spans="1:23" ht="25.5">
      <c r="A228" s="105" t="s">
        <v>416</v>
      </c>
      <c r="B228" s="106"/>
      <c r="C228" s="106" t="s">
        <v>278</v>
      </c>
      <c r="D228" s="106"/>
      <c r="E228" s="106"/>
      <c r="F228" s="106"/>
      <c r="G228" s="39">
        <f aca="true" t="shared" si="88" ref="G228:O228">G229+G243+G258+G254+G264</f>
        <v>237520.6</v>
      </c>
      <c r="H228" s="39">
        <f t="shared" si="88"/>
        <v>2863.8</v>
      </c>
      <c r="I228" s="39">
        <f t="shared" si="88"/>
        <v>117.70000000000013</v>
      </c>
      <c r="J228" s="39">
        <f t="shared" si="88"/>
        <v>1042</v>
      </c>
      <c r="K228" s="101">
        <f t="shared" si="88"/>
        <v>-75</v>
      </c>
      <c r="L228" s="39">
        <f t="shared" si="88"/>
        <v>5990</v>
      </c>
      <c r="M228" s="101">
        <f t="shared" si="88"/>
        <v>0</v>
      </c>
      <c r="N228" s="102">
        <f t="shared" si="88"/>
        <v>24404.66</v>
      </c>
      <c r="O228" s="103">
        <f t="shared" si="88"/>
        <v>0</v>
      </c>
      <c r="P228" s="103">
        <f>P229+P243+P254+P258+P264</f>
        <v>1264</v>
      </c>
      <c r="Q228" s="103">
        <f>Q229+Q243+Q254+Q258+Q264</f>
        <v>0</v>
      </c>
      <c r="R228" s="103">
        <f>R229+R243+R254+R258+R264</f>
        <v>0</v>
      </c>
      <c r="S228" s="103">
        <f>S229+S243+S254+S258+S264</f>
        <v>0</v>
      </c>
      <c r="T228" s="103">
        <f>T229+T243+T254+T258+T264</f>
        <v>-400</v>
      </c>
      <c r="U228" s="103"/>
      <c r="V228" s="101">
        <f>V229+V243+V258+V254+V264</f>
        <v>272727.76</v>
      </c>
      <c r="W228" s="104"/>
    </row>
    <row r="229" spans="1:23" ht="25.5">
      <c r="A229" s="105" t="s">
        <v>417</v>
      </c>
      <c r="B229" s="106"/>
      <c r="C229" s="106" t="s">
        <v>278</v>
      </c>
      <c r="D229" s="106" t="s">
        <v>211</v>
      </c>
      <c r="E229" s="106"/>
      <c r="F229" s="106"/>
      <c r="G229" s="39">
        <f>G234+G239+G237</f>
        <v>169441.2</v>
      </c>
      <c r="H229" s="39">
        <f>H234+H239+H237</f>
        <v>959.3</v>
      </c>
      <c r="I229" s="39">
        <f>I234+I239+I237</f>
        <v>-1533.8074</v>
      </c>
      <c r="J229" s="39">
        <f>J234+J239+J237</f>
        <v>1042</v>
      </c>
      <c r="K229" s="101">
        <f>K234+K239+K237</f>
        <v>-75</v>
      </c>
      <c r="L229" s="39">
        <f>L234+L239+L237+L241</f>
        <v>5990</v>
      </c>
      <c r="M229" s="101">
        <f>M234+M239+M237</f>
        <v>0</v>
      </c>
      <c r="N229" s="102">
        <f>N234+N239+N237+N230</f>
        <v>24404.66</v>
      </c>
      <c r="O229" s="103">
        <f>O234+O239+O237+O230</f>
        <v>-600</v>
      </c>
      <c r="P229" s="103">
        <f>P230+P232+P234+P237+P239+P241</f>
        <v>1264</v>
      </c>
      <c r="Q229" s="103">
        <f>Q230+Q232+Q234+Q237+Q239+Q241</f>
        <v>0</v>
      </c>
      <c r="R229" s="103">
        <f>R230+R232+R234+R237+R239+R241</f>
        <v>0</v>
      </c>
      <c r="S229" s="103">
        <f>S230+S232+S234+S237+S239+S241</f>
        <v>235</v>
      </c>
      <c r="T229" s="103">
        <f>T230+T232+T234+T237+T239+T241</f>
        <v>0</v>
      </c>
      <c r="U229" s="103"/>
      <c r="V229" s="101">
        <f>V234+V239+V237+V230+V241+V232</f>
        <v>201127.3526</v>
      </c>
      <c r="W229" s="104"/>
    </row>
    <row r="230" spans="1:23" ht="12.75">
      <c r="A230" s="107"/>
      <c r="B230" s="108" t="s">
        <v>216</v>
      </c>
      <c r="C230" s="108" t="s">
        <v>278</v>
      </c>
      <c r="D230" s="108" t="s">
        <v>211</v>
      </c>
      <c r="E230" s="108" t="s">
        <v>418</v>
      </c>
      <c r="F230" s="108"/>
      <c r="G230" s="109"/>
      <c r="H230" s="109"/>
      <c r="I230" s="109"/>
      <c r="J230" s="109"/>
      <c r="K230" s="110"/>
      <c r="L230" s="109"/>
      <c r="M230" s="110"/>
      <c r="N230" s="111">
        <f>N231</f>
        <v>18064.66</v>
      </c>
      <c r="O230" s="112">
        <f>O231</f>
        <v>0</v>
      </c>
      <c r="P230" s="112">
        <f>P231</f>
        <v>0</v>
      </c>
      <c r="Q230" s="112">
        <f>Q231</f>
        <v>-18064.66</v>
      </c>
      <c r="R230" s="112"/>
      <c r="S230" s="112"/>
      <c r="T230" s="112"/>
      <c r="U230" s="112"/>
      <c r="V230" s="112">
        <f>V231</f>
        <v>0</v>
      </c>
      <c r="W230" s="104"/>
    </row>
    <row r="231" spans="1:23" ht="25.5">
      <c r="A231" s="107" t="s">
        <v>253</v>
      </c>
      <c r="B231" s="108" t="s">
        <v>216</v>
      </c>
      <c r="C231" s="108" t="s">
        <v>278</v>
      </c>
      <c r="D231" s="108" t="s">
        <v>211</v>
      </c>
      <c r="E231" s="108" t="s">
        <v>418</v>
      </c>
      <c r="F231" s="108" t="s">
        <v>254</v>
      </c>
      <c r="G231" s="109"/>
      <c r="H231" s="109"/>
      <c r="I231" s="109"/>
      <c r="J231" s="109"/>
      <c r="K231" s="110"/>
      <c r="L231" s="109"/>
      <c r="M231" s="110"/>
      <c r="N231" s="111">
        <v>18064.66</v>
      </c>
      <c r="O231" s="112"/>
      <c r="P231" s="112"/>
      <c r="Q231" s="112">
        <v>-18064.66</v>
      </c>
      <c r="R231" s="112"/>
      <c r="S231" s="112"/>
      <c r="T231" s="112"/>
      <c r="U231" s="112"/>
      <c r="V231" s="110">
        <f>N231+Q231</f>
        <v>0</v>
      </c>
      <c r="W231" s="104"/>
    </row>
    <row r="232" spans="1:23" ht="66" customHeight="1">
      <c r="A232" s="156" t="s">
        <v>419</v>
      </c>
      <c r="B232" s="108" t="s">
        <v>216</v>
      </c>
      <c r="C232" s="108" t="s">
        <v>278</v>
      </c>
      <c r="D232" s="108" t="s">
        <v>211</v>
      </c>
      <c r="E232" s="108" t="s">
        <v>420</v>
      </c>
      <c r="F232" s="108"/>
      <c r="G232" s="109"/>
      <c r="H232" s="109"/>
      <c r="I232" s="109"/>
      <c r="J232" s="109"/>
      <c r="K232" s="110"/>
      <c r="L232" s="109"/>
      <c r="M232" s="110"/>
      <c r="N232" s="111"/>
      <c r="O232" s="112"/>
      <c r="P232" s="112"/>
      <c r="Q232" s="112">
        <f>Q233</f>
        <v>18064.66</v>
      </c>
      <c r="R232" s="112"/>
      <c r="S232" s="112"/>
      <c r="T232" s="112"/>
      <c r="U232" s="112"/>
      <c r="V232" s="110">
        <f>V233</f>
        <v>18064.66</v>
      </c>
      <c r="W232" s="104"/>
    </row>
    <row r="233" spans="1:23" ht="25.5">
      <c r="A233" s="107" t="s">
        <v>253</v>
      </c>
      <c r="B233" s="108" t="s">
        <v>216</v>
      </c>
      <c r="C233" s="108" t="s">
        <v>278</v>
      </c>
      <c r="D233" s="108" t="s">
        <v>211</v>
      </c>
      <c r="E233" s="108" t="s">
        <v>420</v>
      </c>
      <c r="F233" s="108" t="s">
        <v>254</v>
      </c>
      <c r="G233" s="109"/>
      <c r="H233" s="109"/>
      <c r="I233" s="109"/>
      <c r="J233" s="109"/>
      <c r="K233" s="110"/>
      <c r="L233" s="109"/>
      <c r="M233" s="110"/>
      <c r="N233" s="111"/>
      <c r="O233" s="112"/>
      <c r="P233" s="112"/>
      <c r="Q233" s="112">
        <v>18064.66</v>
      </c>
      <c r="R233" s="112"/>
      <c r="S233" s="112"/>
      <c r="T233" s="112"/>
      <c r="U233" s="112"/>
      <c r="V233" s="110">
        <f>Q233</f>
        <v>18064.66</v>
      </c>
      <c r="W233" s="104"/>
    </row>
    <row r="234" spans="1:23" ht="25.5">
      <c r="A234" s="107" t="s">
        <v>421</v>
      </c>
      <c r="B234" s="108" t="s">
        <v>216</v>
      </c>
      <c r="C234" s="108" t="s">
        <v>278</v>
      </c>
      <c r="D234" s="108" t="s">
        <v>211</v>
      </c>
      <c r="E234" s="108" t="s">
        <v>422</v>
      </c>
      <c r="F234" s="153"/>
      <c r="G234" s="157">
        <f aca="true" t="shared" si="89" ref="G234:P235">G235</f>
        <v>138798.2</v>
      </c>
      <c r="H234" s="157">
        <f t="shared" si="89"/>
        <v>959.3</v>
      </c>
      <c r="I234" s="157">
        <f t="shared" si="89"/>
        <v>-1533.8074</v>
      </c>
      <c r="J234" s="157">
        <f t="shared" si="89"/>
        <v>0</v>
      </c>
      <c r="K234" s="158">
        <f t="shared" si="89"/>
        <v>-75</v>
      </c>
      <c r="L234" s="157">
        <f t="shared" si="89"/>
        <v>4890</v>
      </c>
      <c r="M234" s="158">
        <f t="shared" si="89"/>
        <v>0</v>
      </c>
      <c r="N234" s="159">
        <f t="shared" si="89"/>
        <v>6340</v>
      </c>
      <c r="O234" s="160">
        <f t="shared" si="89"/>
        <v>-600</v>
      </c>
      <c r="P234" s="160">
        <f t="shared" si="89"/>
        <v>1264</v>
      </c>
      <c r="Q234" s="160"/>
      <c r="R234" s="160"/>
      <c r="S234" s="160">
        <f>S235</f>
        <v>235</v>
      </c>
      <c r="T234" s="160"/>
      <c r="U234" s="160"/>
      <c r="V234" s="158">
        <f>V235</f>
        <v>150277.6926</v>
      </c>
      <c r="W234" s="104"/>
    </row>
    <row r="235" spans="1:23" ht="25.5">
      <c r="A235" s="107" t="s">
        <v>251</v>
      </c>
      <c r="B235" s="108" t="s">
        <v>216</v>
      </c>
      <c r="C235" s="108" t="s">
        <v>278</v>
      </c>
      <c r="D235" s="108" t="s">
        <v>211</v>
      </c>
      <c r="E235" s="108" t="s">
        <v>423</v>
      </c>
      <c r="F235" s="108"/>
      <c r="G235" s="109">
        <f t="shared" si="89"/>
        <v>138798.2</v>
      </c>
      <c r="H235" s="109">
        <f t="shared" si="89"/>
        <v>959.3</v>
      </c>
      <c r="I235" s="109">
        <f t="shared" si="89"/>
        <v>-1533.8074</v>
      </c>
      <c r="J235" s="109">
        <f t="shared" si="89"/>
        <v>0</v>
      </c>
      <c r="K235" s="110">
        <f t="shared" si="89"/>
        <v>-75</v>
      </c>
      <c r="L235" s="109">
        <f t="shared" si="89"/>
        <v>4890</v>
      </c>
      <c r="M235" s="110">
        <f t="shared" si="89"/>
        <v>0</v>
      </c>
      <c r="N235" s="111">
        <f t="shared" si="89"/>
        <v>6340</v>
      </c>
      <c r="O235" s="112">
        <f t="shared" si="89"/>
        <v>-600</v>
      </c>
      <c r="P235" s="112">
        <f t="shared" si="89"/>
        <v>1264</v>
      </c>
      <c r="Q235" s="112"/>
      <c r="R235" s="112"/>
      <c r="S235" s="112">
        <f>S236</f>
        <v>235</v>
      </c>
      <c r="T235" s="112"/>
      <c r="U235" s="112"/>
      <c r="V235" s="110">
        <f>V236</f>
        <v>150277.6926</v>
      </c>
      <c r="W235" s="104"/>
    </row>
    <row r="236" spans="1:23" ht="25.5">
      <c r="A236" s="107" t="s">
        <v>253</v>
      </c>
      <c r="B236" s="108" t="s">
        <v>216</v>
      </c>
      <c r="C236" s="108" t="s">
        <v>278</v>
      </c>
      <c r="D236" s="108" t="s">
        <v>211</v>
      </c>
      <c r="E236" s="108" t="s">
        <v>423</v>
      </c>
      <c r="F236" s="108" t="s">
        <v>254</v>
      </c>
      <c r="G236" s="109">
        <f>129929.7+10000-1131.5</f>
        <v>138798.2</v>
      </c>
      <c r="H236" s="113">
        <f>262.3+35+75+587</f>
        <v>959.3</v>
      </c>
      <c r="I236" s="113">
        <f>-5.2-4073.0574+1419.63+1007.12+117.7</f>
        <v>-1533.8074</v>
      </c>
      <c r="J236" s="113"/>
      <c r="K236" s="114">
        <v>-75</v>
      </c>
      <c r="L236" s="113">
        <f>4590+300</f>
        <v>4890</v>
      </c>
      <c r="M236" s="114"/>
      <c r="N236" s="115">
        <v>6340</v>
      </c>
      <c r="O236" s="116">
        <v>-600</v>
      </c>
      <c r="P236" s="116">
        <v>1264</v>
      </c>
      <c r="Q236" s="116"/>
      <c r="R236" s="116"/>
      <c r="S236" s="116">
        <v>235</v>
      </c>
      <c r="T236" s="116"/>
      <c r="U236" s="116"/>
      <c r="V236" s="114">
        <f>G236+H236+I236+K236+L236+N236+O236+P236+S236</f>
        <v>150277.6926</v>
      </c>
      <c r="W236" s="104"/>
    </row>
    <row r="237" spans="1:23" ht="38.25">
      <c r="A237" s="128" t="s">
        <v>368</v>
      </c>
      <c r="B237" s="108" t="s">
        <v>216</v>
      </c>
      <c r="C237" s="108" t="s">
        <v>278</v>
      </c>
      <c r="D237" s="108" t="s">
        <v>211</v>
      </c>
      <c r="E237" s="108" t="s">
        <v>369</v>
      </c>
      <c r="F237" s="108"/>
      <c r="G237" s="109">
        <f aca="true" t="shared" si="90" ref="G237:M237">G238</f>
        <v>0</v>
      </c>
      <c r="H237" s="109">
        <f t="shared" si="90"/>
        <v>0</v>
      </c>
      <c r="I237" s="109">
        <f t="shared" si="90"/>
        <v>0</v>
      </c>
      <c r="J237" s="109">
        <f t="shared" si="90"/>
        <v>1042</v>
      </c>
      <c r="K237" s="110">
        <f t="shared" si="90"/>
        <v>0</v>
      </c>
      <c r="L237" s="109">
        <f t="shared" si="90"/>
        <v>0</v>
      </c>
      <c r="M237" s="110">
        <f t="shared" si="90"/>
        <v>0</v>
      </c>
      <c r="N237" s="111"/>
      <c r="O237" s="112"/>
      <c r="P237" s="112"/>
      <c r="Q237" s="112"/>
      <c r="R237" s="112"/>
      <c r="S237" s="112"/>
      <c r="T237" s="112"/>
      <c r="U237" s="112"/>
      <c r="V237" s="110">
        <f>V238</f>
        <v>1042</v>
      </c>
      <c r="W237" s="104"/>
    </row>
    <row r="238" spans="1:23" ht="25.5">
      <c r="A238" s="107" t="s">
        <v>253</v>
      </c>
      <c r="B238" s="108" t="s">
        <v>216</v>
      </c>
      <c r="C238" s="108" t="s">
        <v>278</v>
      </c>
      <c r="D238" s="108" t="s">
        <v>211</v>
      </c>
      <c r="E238" s="108" t="s">
        <v>369</v>
      </c>
      <c r="F238" s="108" t="s">
        <v>254</v>
      </c>
      <c r="G238" s="109"/>
      <c r="H238" s="113"/>
      <c r="I238" s="113"/>
      <c r="J238" s="113">
        <v>1042</v>
      </c>
      <c r="K238" s="114"/>
      <c r="L238" s="113"/>
      <c r="M238" s="114"/>
      <c r="N238" s="115"/>
      <c r="O238" s="116"/>
      <c r="P238" s="116"/>
      <c r="Q238" s="116"/>
      <c r="R238" s="116"/>
      <c r="S238" s="116"/>
      <c r="T238" s="116"/>
      <c r="U238" s="116"/>
      <c r="V238" s="114">
        <f>J238</f>
        <v>1042</v>
      </c>
      <c r="W238" s="104"/>
    </row>
    <row r="239" spans="1:23" ht="63.75">
      <c r="A239" s="138" t="s">
        <v>424</v>
      </c>
      <c r="B239" s="108" t="s">
        <v>216</v>
      </c>
      <c r="C239" s="108" t="s">
        <v>278</v>
      </c>
      <c r="D239" s="108" t="s">
        <v>211</v>
      </c>
      <c r="E239" s="108" t="s">
        <v>425</v>
      </c>
      <c r="F239" s="108"/>
      <c r="G239" s="109">
        <f aca="true" t="shared" si="91" ref="G239:M239">G240</f>
        <v>30643</v>
      </c>
      <c r="H239" s="109">
        <f t="shared" si="91"/>
        <v>0</v>
      </c>
      <c r="I239" s="109">
        <f t="shared" si="91"/>
        <v>0</v>
      </c>
      <c r="J239" s="109">
        <f t="shared" si="91"/>
        <v>0</v>
      </c>
      <c r="K239" s="110">
        <f t="shared" si="91"/>
        <v>0</v>
      </c>
      <c r="L239" s="109">
        <f t="shared" si="91"/>
        <v>0</v>
      </c>
      <c r="M239" s="110">
        <f t="shared" si="91"/>
        <v>0</v>
      </c>
      <c r="N239" s="111"/>
      <c r="O239" s="112"/>
      <c r="P239" s="112"/>
      <c r="Q239" s="112"/>
      <c r="R239" s="112"/>
      <c r="S239" s="112"/>
      <c r="T239" s="112"/>
      <c r="U239" s="112"/>
      <c r="V239" s="110">
        <f>V240</f>
        <v>30643</v>
      </c>
      <c r="W239" s="104"/>
    </row>
    <row r="240" spans="1:23" ht="25.5">
      <c r="A240" s="107" t="s">
        <v>253</v>
      </c>
      <c r="B240" s="108" t="s">
        <v>216</v>
      </c>
      <c r="C240" s="108" t="s">
        <v>278</v>
      </c>
      <c r="D240" s="108" t="s">
        <v>211</v>
      </c>
      <c r="E240" s="108" t="s">
        <v>425</v>
      </c>
      <c r="F240" s="108" t="s">
        <v>254</v>
      </c>
      <c r="G240" s="109">
        <v>30643</v>
      </c>
      <c r="H240" s="113"/>
      <c r="I240" s="113"/>
      <c r="J240" s="113"/>
      <c r="K240" s="114"/>
      <c r="L240" s="113"/>
      <c r="M240" s="114"/>
      <c r="N240" s="115"/>
      <c r="O240" s="116"/>
      <c r="P240" s="116"/>
      <c r="Q240" s="116"/>
      <c r="R240" s="116"/>
      <c r="S240" s="116"/>
      <c r="T240" s="116"/>
      <c r="U240" s="116"/>
      <c r="V240" s="114">
        <f>G240+H240+I240</f>
        <v>30643</v>
      </c>
      <c r="W240" s="104"/>
    </row>
    <row r="241" spans="1:23" ht="51">
      <c r="A241" s="128" t="s">
        <v>426</v>
      </c>
      <c r="B241" s="108" t="s">
        <v>216</v>
      </c>
      <c r="C241" s="108" t="s">
        <v>278</v>
      </c>
      <c r="D241" s="108" t="s">
        <v>211</v>
      </c>
      <c r="E241" s="108" t="s">
        <v>427</v>
      </c>
      <c r="F241" s="108"/>
      <c r="G241" s="109"/>
      <c r="H241" s="113"/>
      <c r="I241" s="113"/>
      <c r="J241" s="113"/>
      <c r="K241" s="114"/>
      <c r="L241" s="113">
        <f>L242</f>
        <v>1100</v>
      </c>
      <c r="M241" s="114"/>
      <c r="N241" s="115"/>
      <c r="O241" s="116"/>
      <c r="P241" s="116"/>
      <c r="Q241" s="116"/>
      <c r="R241" s="116"/>
      <c r="S241" s="116"/>
      <c r="T241" s="116"/>
      <c r="U241" s="116"/>
      <c r="V241" s="114">
        <f>V242</f>
        <v>1100</v>
      </c>
      <c r="W241" s="104"/>
    </row>
    <row r="242" spans="1:23" ht="25.5">
      <c r="A242" s="107" t="s">
        <v>221</v>
      </c>
      <c r="B242" s="108" t="s">
        <v>216</v>
      </c>
      <c r="C242" s="108" t="s">
        <v>278</v>
      </c>
      <c r="D242" s="108" t="s">
        <v>211</v>
      </c>
      <c r="E242" s="108" t="s">
        <v>427</v>
      </c>
      <c r="F242" s="108" t="s">
        <v>229</v>
      </c>
      <c r="G242" s="109"/>
      <c r="H242" s="113"/>
      <c r="I242" s="113"/>
      <c r="J242" s="113"/>
      <c r="K242" s="114"/>
      <c r="L242" s="113">
        <v>1100</v>
      </c>
      <c r="M242" s="114"/>
      <c r="N242" s="115"/>
      <c r="O242" s="116"/>
      <c r="P242" s="116"/>
      <c r="Q242" s="116"/>
      <c r="R242" s="116"/>
      <c r="S242" s="116"/>
      <c r="T242" s="116"/>
      <c r="U242" s="116"/>
      <c r="V242" s="114">
        <f>L242</f>
        <v>1100</v>
      </c>
      <c r="W242" s="104"/>
    </row>
    <row r="243" spans="1:23" ht="12.75">
      <c r="A243" s="105" t="s">
        <v>428</v>
      </c>
      <c r="B243" s="108"/>
      <c r="C243" s="106" t="s">
        <v>278</v>
      </c>
      <c r="D243" s="106" t="s">
        <v>217</v>
      </c>
      <c r="E243" s="106"/>
      <c r="F243" s="106"/>
      <c r="G243" s="129">
        <f aca="true" t="shared" si="92" ref="G243:V243">G247+G249+G252+G244</f>
        <v>21089.8</v>
      </c>
      <c r="H243" s="129">
        <f t="shared" si="92"/>
        <v>464.5</v>
      </c>
      <c r="I243" s="129">
        <f t="shared" si="92"/>
        <v>1805.2</v>
      </c>
      <c r="J243" s="129">
        <f t="shared" si="92"/>
        <v>0</v>
      </c>
      <c r="K243" s="130">
        <f t="shared" si="92"/>
        <v>64.7</v>
      </c>
      <c r="L243" s="129">
        <f t="shared" si="92"/>
        <v>0</v>
      </c>
      <c r="M243" s="130">
        <f t="shared" si="92"/>
        <v>0</v>
      </c>
      <c r="N243" s="129">
        <f t="shared" si="92"/>
        <v>0</v>
      </c>
      <c r="O243" s="130">
        <f t="shared" si="92"/>
        <v>600</v>
      </c>
      <c r="P243" s="130">
        <f t="shared" si="92"/>
        <v>0</v>
      </c>
      <c r="Q243" s="130">
        <f t="shared" si="92"/>
        <v>0</v>
      </c>
      <c r="R243" s="130">
        <f t="shared" si="92"/>
        <v>0</v>
      </c>
      <c r="S243" s="130">
        <f t="shared" si="92"/>
        <v>105</v>
      </c>
      <c r="T243" s="130">
        <f t="shared" si="92"/>
        <v>-200</v>
      </c>
      <c r="U243" s="130"/>
      <c r="V243" s="130">
        <f t="shared" si="92"/>
        <v>23929.2</v>
      </c>
      <c r="W243" s="104"/>
    </row>
    <row r="244" spans="1:23" ht="25.5">
      <c r="A244" s="107" t="s">
        <v>421</v>
      </c>
      <c r="B244" s="108" t="s">
        <v>216</v>
      </c>
      <c r="C244" s="108" t="s">
        <v>278</v>
      </c>
      <c r="D244" s="108" t="s">
        <v>217</v>
      </c>
      <c r="E244" s="108" t="s">
        <v>422</v>
      </c>
      <c r="F244" s="153"/>
      <c r="G244" s="157">
        <f aca="true" t="shared" si="93" ref="G244:O245">G245</f>
        <v>15391.7</v>
      </c>
      <c r="H244" s="157">
        <f t="shared" si="93"/>
        <v>464.5</v>
      </c>
      <c r="I244" s="157">
        <f t="shared" si="93"/>
        <v>1805.2</v>
      </c>
      <c r="J244" s="157">
        <f t="shared" si="93"/>
        <v>0</v>
      </c>
      <c r="K244" s="158">
        <f t="shared" si="93"/>
        <v>0</v>
      </c>
      <c r="L244" s="157">
        <f t="shared" si="93"/>
        <v>0</v>
      </c>
      <c r="M244" s="158">
        <f t="shared" si="93"/>
        <v>0</v>
      </c>
      <c r="N244" s="157">
        <f t="shared" si="93"/>
        <v>0</v>
      </c>
      <c r="O244" s="158">
        <f t="shared" si="93"/>
        <v>600</v>
      </c>
      <c r="P244" s="158"/>
      <c r="Q244" s="158"/>
      <c r="R244" s="158"/>
      <c r="S244" s="158">
        <f>S245</f>
        <v>105</v>
      </c>
      <c r="T244" s="158"/>
      <c r="U244" s="158"/>
      <c r="V244" s="158">
        <f>V245</f>
        <v>18366.4</v>
      </c>
      <c r="W244" s="104"/>
    </row>
    <row r="245" spans="1:23" ht="25.5">
      <c r="A245" s="107" t="s">
        <v>251</v>
      </c>
      <c r="B245" s="108" t="s">
        <v>216</v>
      </c>
      <c r="C245" s="108" t="s">
        <v>278</v>
      </c>
      <c r="D245" s="108" t="s">
        <v>217</v>
      </c>
      <c r="E245" s="108" t="s">
        <v>423</v>
      </c>
      <c r="F245" s="108"/>
      <c r="G245" s="109">
        <f t="shared" si="93"/>
        <v>15391.7</v>
      </c>
      <c r="H245" s="109">
        <f t="shared" si="93"/>
        <v>464.5</v>
      </c>
      <c r="I245" s="109">
        <f t="shared" si="93"/>
        <v>1805.2</v>
      </c>
      <c r="J245" s="109">
        <f t="shared" si="93"/>
        <v>0</v>
      </c>
      <c r="K245" s="110">
        <f t="shared" si="93"/>
        <v>0</v>
      </c>
      <c r="L245" s="109">
        <f t="shared" si="93"/>
        <v>0</v>
      </c>
      <c r="M245" s="110">
        <f t="shared" si="93"/>
        <v>0</v>
      </c>
      <c r="N245" s="109">
        <f t="shared" si="93"/>
        <v>0</v>
      </c>
      <c r="O245" s="110">
        <f t="shared" si="93"/>
        <v>600</v>
      </c>
      <c r="P245" s="110"/>
      <c r="Q245" s="110"/>
      <c r="R245" s="110"/>
      <c r="S245" s="110">
        <f>S246</f>
        <v>105</v>
      </c>
      <c r="T245" s="110"/>
      <c r="U245" s="110"/>
      <c r="V245" s="110">
        <f>V246</f>
        <v>18366.4</v>
      </c>
      <c r="W245" s="104"/>
    </row>
    <row r="246" spans="1:23" ht="25.5">
      <c r="A246" s="107" t="s">
        <v>253</v>
      </c>
      <c r="B246" s="108" t="s">
        <v>216</v>
      </c>
      <c r="C246" s="108" t="s">
        <v>278</v>
      </c>
      <c r="D246" s="108" t="s">
        <v>217</v>
      </c>
      <c r="E246" s="108" t="s">
        <v>423</v>
      </c>
      <c r="F246" s="108" t="s">
        <v>254</v>
      </c>
      <c r="G246" s="109">
        <v>15391.7</v>
      </c>
      <c r="H246" s="113">
        <v>464.5</v>
      </c>
      <c r="I246" s="113">
        <f>5.2+1800</f>
        <v>1805.2</v>
      </c>
      <c r="J246" s="113"/>
      <c r="K246" s="114"/>
      <c r="L246" s="113"/>
      <c r="M246" s="114"/>
      <c r="N246" s="115"/>
      <c r="O246" s="116">
        <v>600</v>
      </c>
      <c r="P246" s="116"/>
      <c r="Q246" s="116"/>
      <c r="R246" s="116"/>
      <c r="S246" s="116">
        <v>105</v>
      </c>
      <c r="T246" s="116"/>
      <c r="U246" s="116"/>
      <c r="V246" s="114">
        <f>G246+H246+I246+O246+S246</f>
        <v>18366.4</v>
      </c>
      <c r="W246" s="104"/>
    </row>
    <row r="247" spans="1:23" ht="25.5">
      <c r="A247" s="118" t="s">
        <v>429</v>
      </c>
      <c r="B247" s="108" t="s">
        <v>216</v>
      </c>
      <c r="C247" s="108" t="s">
        <v>278</v>
      </c>
      <c r="D247" s="108" t="s">
        <v>217</v>
      </c>
      <c r="E247" s="108" t="s">
        <v>430</v>
      </c>
      <c r="F247" s="108"/>
      <c r="G247" s="109">
        <f aca="true" t="shared" si="94" ref="G247:M247">G248</f>
        <v>3015.7999999999997</v>
      </c>
      <c r="H247" s="109">
        <f t="shared" si="94"/>
        <v>0</v>
      </c>
      <c r="I247" s="109">
        <f t="shared" si="94"/>
        <v>0</v>
      </c>
      <c r="J247" s="109">
        <f t="shared" si="94"/>
        <v>0</v>
      </c>
      <c r="K247" s="110">
        <f t="shared" si="94"/>
        <v>0</v>
      </c>
      <c r="L247" s="109">
        <f t="shared" si="94"/>
        <v>0</v>
      </c>
      <c r="M247" s="110">
        <f t="shared" si="94"/>
        <v>0</v>
      </c>
      <c r="N247" s="111"/>
      <c r="O247" s="112"/>
      <c r="P247" s="112"/>
      <c r="Q247" s="112"/>
      <c r="R247" s="112"/>
      <c r="S247" s="112"/>
      <c r="T247" s="112"/>
      <c r="U247" s="112"/>
      <c r="V247" s="110">
        <f>V248</f>
        <v>3015.7999999999997</v>
      </c>
      <c r="W247" s="104"/>
    </row>
    <row r="248" spans="1:23" ht="25.5">
      <c r="A248" s="107" t="s">
        <v>253</v>
      </c>
      <c r="B248" s="108" t="s">
        <v>216</v>
      </c>
      <c r="C248" s="108" t="s">
        <v>278</v>
      </c>
      <c r="D248" s="108" t="s">
        <v>217</v>
      </c>
      <c r="E248" s="108" t="s">
        <v>430</v>
      </c>
      <c r="F248" s="108" t="s">
        <v>254</v>
      </c>
      <c r="G248" s="109">
        <f>3081.1-65.3</f>
        <v>3015.7999999999997</v>
      </c>
      <c r="H248" s="113"/>
      <c r="I248" s="113"/>
      <c r="J248" s="113"/>
      <c r="K248" s="114"/>
      <c r="L248" s="113"/>
      <c r="M248" s="114"/>
      <c r="N248" s="115"/>
      <c r="O248" s="116"/>
      <c r="P248" s="116"/>
      <c r="Q248" s="116"/>
      <c r="R248" s="116"/>
      <c r="S248" s="116"/>
      <c r="T248" s="116"/>
      <c r="U248" s="116"/>
      <c r="V248" s="114">
        <f>G248+H248+I248</f>
        <v>3015.7999999999997</v>
      </c>
      <c r="W248" s="104"/>
    </row>
    <row r="249" spans="1:23" ht="12.75">
      <c r="A249" s="107" t="s">
        <v>431</v>
      </c>
      <c r="B249" s="108" t="s">
        <v>216</v>
      </c>
      <c r="C249" s="108" t="s">
        <v>278</v>
      </c>
      <c r="D249" s="108" t="s">
        <v>217</v>
      </c>
      <c r="E249" s="108" t="s">
        <v>432</v>
      </c>
      <c r="F249" s="108"/>
      <c r="G249" s="109">
        <f aca="true" t="shared" si="95" ref="G249:M250">G250</f>
        <v>1128</v>
      </c>
      <c r="H249" s="109">
        <f t="shared" si="95"/>
        <v>0</v>
      </c>
      <c r="I249" s="109">
        <f t="shared" si="95"/>
        <v>0</v>
      </c>
      <c r="J249" s="109">
        <f t="shared" si="95"/>
        <v>0</v>
      </c>
      <c r="K249" s="110">
        <f t="shared" si="95"/>
        <v>0</v>
      </c>
      <c r="L249" s="109">
        <f t="shared" si="95"/>
        <v>0</v>
      </c>
      <c r="M249" s="110">
        <f t="shared" si="95"/>
        <v>0</v>
      </c>
      <c r="N249" s="111"/>
      <c r="O249" s="112"/>
      <c r="P249" s="112"/>
      <c r="Q249" s="112"/>
      <c r="R249" s="112"/>
      <c r="S249" s="112"/>
      <c r="T249" s="112"/>
      <c r="U249" s="112"/>
      <c r="V249" s="110">
        <f>V250</f>
        <v>1128</v>
      </c>
      <c r="W249" s="104"/>
    </row>
    <row r="250" spans="1:23" ht="25.5">
      <c r="A250" s="107" t="s">
        <v>251</v>
      </c>
      <c r="B250" s="108" t="s">
        <v>216</v>
      </c>
      <c r="C250" s="108" t="s">
        <v>278</v>
      </c>
      <c r="D250" s="108" t="s">
        <v>217</v>
      </c>
      <c r="E250" s="108" t="s">
        <v>433</v>
      </c>
      <c r="F250" s="108"/>
      <c r="G250" s="109">
        <f t="shared" si="95"/>
        <v>1128</v>
      </c>
      <c r="H250" s="109">
        <f t="shared" si="95"/>
        <v>0</v>
      </c>
      <c r="I250" s="109">
        <f t="shared" si="95"/>
        <v>0</v>
      </c>
      <c r="J250" s="109">
        <f t="shared" si="95"/>
        <v>0</v>
      </c>
      <c r="K250" s="110">
        <f t="shared" si="95"/>
        <v>0</v>
      </c>
      <c r="L250" s="109">
        <f t="shared" si="95"/>
        <v>0</v>
      </c>
      <c r="M250" s="110">
        <f t="shared" si="95"/>
        <v>0</v>
      </c>
      <c r="N250" s="111"/>
      <c r="O250" s="112"/>
      <c r="P250" s="112"/>
      <c r="Q250" s="112"/>
      <c r="R250" s="112"/>
      <c r="S250" s="112"/>
      <c r="T250" s="112"/>
      <c r="U250" s="112"/>
      <c r="V250" s="110">
        <f>V251</f>
        <v>1128</v>
      </c>
      <c r="W250" s="104"/>
    </row>
    <row r="251" spans="1:23" ht="25.5">
      <c r="A251" s="107" t="s">
        <v>253</v>
      </c>
      <c r="B251" s="108" t="s">
        <v>216</v>
      </c>
      <c r="C251" s="108" t="s">
        <v>278</v>
      </c>
      <c r="D251" s="108" t="s">
        <v>217</v>
      </c>
      <c r="E251" s="108" t="s">
        <v>433</v>
      </c>
      <c r="F251" s="108" t="s">
        <v>254</v>
      </c>
      <c r="G251" s="109">
        <f>1150.6-22.6</f>
        <v>1128</v>
      </c>
      <c r="H251" s="113"/>
      <c r="I251" s="113"/>
      <c r="J251" s="113"/>
      <c r="K251" s="114"/>
      <c r="L251" s="113"/>
      <c r="M251" s="114"/>
      <c r="N251" s="115"/>
      <c r="O251" s="116"/>
      <c r="P251" s="116"/>
      <c r="Q251" s="116"/>
      <c r="R251" s="116"/>
      <c r="S251" s="116"/>
      <c r="T251" s="116"/>
      <c r="U251" s="116"/>
      <c r="V251" s="114">
        <f>G251+H251+I251</f>
        <v>1128</v>
      </c>
      <c r="W251" s="104"/>
    </row>
    <row r="252" spans="1:23" ht="76.5">
      <c r="A252" s="107" t="s">
        <v>434</v>
      </c>
      <c r="B252" s="108" t="s">
        <v>216</v>
      </c>
      <c r="C252" s="108" t="s">
        <v>278</v>
      </c>
      <c r="D252" s="108" t="s">
        <v>217</v>
      </c>
      <c r="E252" s="108" t="s">
        <v>435</v>
      </c>
      <c r="F252" s="108"/>
      <c r="G252" s="109">
        <f aca="true" t="shared" si="96" ref="G252:M252">G253</f>
        <v>1554.3</v>
      </c>
      <c r="H252" s="109">
        <f t="shared" si="96"/>
        <v>0</v>
      </c>
      <c r="I252" s="109">
        <f t="shared" si="96"/>
        <v>0</v>
      </c>
      <c r="J252" s="109">
        <f t="shared" si="96"/>
        <v>0</v>
      </c>
      <c r="K252" s="110">
        <f t="shared" si="96"/>
        <v>64.7</v>
      </c>
      <c r="L252" s="109">
        <f t="shared" si="96"/>
        <v>0</v>
      </c>
      <c r="M252" s="110">
        <f t="shared" si="96"/>
        <v>0</v>
      </c>
      <c r="N252" s="110">
        <f aca="true" t="shared" si="97" ref="N252:V252">N253</f>
        <v>0</v>
      </c>
      <c r="O252" s="110">
        <f t="shared" si="97"/>
        <v>0</v>
      </c>
      <c r="P252" s="110">
        <f t="shared" si="97"/>
        <v>0</v>
      </c>
      <c r="Q252" s="110">
        <f t="shared" si="97"/>
        <v>0</v>
      </c>
      <c r="R252" s="110">
        <f t="shared" si="97"/>
        <v>0</v>
      </c>
      <c r="S252" s="110">
        <f t="shared" si="97"/>
        <v>0</v>
      </c>
      <c r="T252" s="110">
        <f t="shared" si="97"/>
        <v>-200</v>
      </c>
      <c r="U252" s="110"/>
      <c r="V252" s="110">
        <f t="shared" si="97"/>
        <v>1419</v>
      </c>
      <c r="W252" s="104"/>
    </row>
    <row r="253" spans="1:23" ht="25.5">
      <c r="A253" s="107" t="s">
        <v>253</v>
      </c>
      <c r="B253" s="108" t="s">
        <v>216</v>
      </c>
      <c r="C253" s="108" t="s">
        <v>278</v>
      </c>
      <c r="D253" s="108" t="s">
        <v>217</v>
      </c>
      <c r="E253" s="108" t="s">
        <v>435</v>
      </c>
      <c r="F253" s="108" t="s">
        <v>254</v>
      </c>
      <c r="G253" s="109">
        <v>1554.3</v>
      </c>
      <c r="H253" s="113"/>
      <c r="I253" s="113"/>
      <c r="J253" s="113"/>
      <c r="K253" s="114">
        <v>64.7</v>
      </c>
      <c r="L253" s="113"/>
      <c r="M253" s="114"/>
      <c r="N253" s="115"/>
      <c r="O253" s="116"/>
      <c r="P253" s="116"/>
      <c r="Q253" s="116"/>
      <c r="R253" s="116"/>
      <c r="S253" s="116"/>
      <c r="T253" s="116">
        <v>-200</v>
      </c>
      <c r="U253" s="116"/>
      <c r="V253" s="114">
        <f>G253+H253+I253+K253+T253</f>
        <v>1419</v>
      </c>
      <c r="W253" s="104"/>
    </row>
    <row r="254" spans="1:23" ht="25.5">
      <c r="A254" s="105" t="s">
        <v>436</v>
      </c>
      <c r="B254" s="96"/>
      <c r="C254" s="106" t="s">
        <v>278</v>
      </c>
      <c r="D254" s="106" t="s">
        <v>268</v>
      </c>
      <c r="E254" s="96"/>
      <c r="F254" s="96"/>
      <c r="G254" s="39">
        <f aca="true" t="shared" si="98" ref="G254:V254">G255</f>
        <v>111</v>
      </c>
      <c r="H254" s="39">
        <f t="shared" si="98"/>
        <v>0</v>
      </c>
      <c r="I254" s="39">
        <f t="shared" si="98"/>
        <v>0</v>
      </c>
      <c r="J254" s="39">
        <f t="shared" si="98"/>
        <v>0</v>
      </c>
      <c r="K254" s="101">
        <f t="shared" si="98"/>
        <v>0</v>
      </c>
      <c r="L254" s="39">
        <f t="shared" si="98"/>
        <v>0</v>
      </c>
      <c r="M254" s="101">
        <f t="shared" si="98"/>
        <v>0</v>
      </c>
      <c r="N254" s="39">
        <f t="shared" si="98"/>
        <v>0</v>
      </c>
      <c r="O254" s="39">
        <f t="shared" si="98"/>
        <v>0</v>
      </c>
      <c r="P254" s="101">
        <f t="shared" si="98"/>
        <v>0</v>
      </c>
      <c r="Q254" s="101">
        <f t="shared" si="98"/>
        <v>0</v>
      </c>
      <c r="R254" s="39">
        <f t="shared" si="98"/>
        <v>0</v>
      </c>
      <c r="S254" s="39">
        <f t="shared" si="98"/>
        <v>0</v>
      </c>
      <c r="T254" s="39">
        <f t="shared" si="98"/>
        <v>0</v>
      </c>
      <c r="U254" s="39"/>
      <c r="V254" s="101">
        <f t="shared" si="98"/>
        <v>111</v>
      </c>
      <c r="W254" s="104"/>
    </row>
    <row r="255" spans="1:23" ht="25.5">
      <c r="A255" s="118" t="s">
        <v>421</v>
      </c>
      <c r="B255" s="108" t="s">
        <v>216</v>
      </c>
      <c r="C255" s="108" t="s">
        <v>278</v>
      </c>
      <c r="D255" s="108" t="s">
        <v>268</v>
      </c>
      <c r="E255" s="108" t="s">
        <v>422</v>
      </c>
      <c r="F255" s="108"/>
      <c r="G255" s="109">
        <f aca="true" t="shared" si="99" ref="G255:M256">G256</f>
        <v>111</v>
      </c>
      <c r="H255" s="109">
        <f t="shared" si="99"/>
        <v>0</v>
      </c>
      <c r="I255" s="109">
        <f t="shared" si="99"/>
        <v>0</v>
      </c>
      <c r="J255" s="109">
        <f t="shared" si="99"/>
        <v>0</v>
      </c>
      <c r="K255" s="110">
        <f t="shared" si="99"/>
        <v>0</v>
      </c>
      <c r="L255" s="109">
        <f t="shared" si="99"/>
        <v>0</v>
      </c>
      <c r="M255" s="110">
        <f t="shared" si="99"/>
        <v>0</v>
      </c>
      <c r="N255" s="111"/>
      <c r="O255" s="112"/>
      <c r="P255" s="112"/>
      <c r="Q255" s="112"/>
      <c r="R255" s="112"/>
      <c r="S255" s="112"/>
      <c r="T255" s="112"/>
      <c r="U255" s="112"/>
      <c r="V255" s="110">
        <f>V256</f>
        <v>111</v>
      </c>
      <c r="W255" s="104"/>
    </row>
    <row r="256" spans="1:23" ht="25.5">
      <c r="A256" s="118" t="s">
        <v>251</v>
      </c>
      <c r="B256" s="108" t="s">
        <v>216</v>
      </c>
      <c r="C256" s="108" t="s">
        <v>278</v>
      </c>
      <c r="D256" s="108" t="s">
        <v>268</v>
      </c>
      <c r="E256" s="108" t="s">
        <v>423</v>
      </c>
      <c r="F256" s="108"/>
      <c r="G256" s="109">
        <f t="shared" si="99"/>
        <v>111</v>
      </c>
      <c r="H256" s="109">
        <f t="shared" si="99"/>
        <v>0</v>
      </c>
      <c r="I256" s="109">
        <f t="shared" si="99"/>
        <v>0</v>
      </c>
      <c r="J256" s="109">
        <f t="shared" si="99"/>
        <v>0</v>
      </c>
      <c r="K256" s="110">
        <f t="shared" si="99"/>
        <v>0</v>
      </c>
      <c r="L256" s="109">
        <f t="shared" si="99"/>
        <v>0</v>
      </c>
      <c r="M256" s="110">
        <f t="shared" si="99"/>
        <v>0</v>
      </c>
      <c r="N256" s="111"/>
      <c r="O256" s="112"/>
      <c r="P256" s="112"/>
      <c r="Q256" s="112"/>
      <c r="R256" s="112"/>
      <c r="S256" s="112"/>
      <c r="T256" s="112"/>
      <c r="U256" s="112"/>
      <c r="V256" s="110">
        <f>V257</f>
        <v>111</v>
      </c>
      <c r="W256" s="104"/>
    </row>
    <row r="257" spans="1:23" ht="25.5">
      <c r="A257" s="118" t="s">
        <v>253</v>
      </c>
      <c r="B257" s="108" t="s">
        <v>216</v>
      </c>
      <c r="C257" s="108" t="s">
        <v>278</v>
      </c>
      <c r="D257" s="108" t="s">
        <v>268</v>
      </c>
      <c r="E257" s="108" t="s">
        <v>423</v>
      </c>
      <c r="F257" s="108" t="s">
        <v>254</v>
      </c>
      <c r="G257" s="109">
        <v>111</v>
      </c>
      <c r="H257" s="113"/>
      <c r="I257" s="113"/>
      <c r="J257" s="113"/>
      <c r="K257" s="114"/>
      <c r="L257" s="113"/>
      <c r="M257" s="114"/>
      <c r="N257" s="115"/>
      <c r="O257" s="116"/>
      <c r="P257" s="116"/>
      <c r="Q257" s="116"/>
      <c r="R257" s="116"/>
      <c r="S257" s="116"/>
      <c r="T257" s="116"/>
      <c r="U257" s="116"/>
      <c r="V257" s="114">
        <f>G257+H257+I257</f>
        <v>111</v>
      </c>
      <c r="W257" s="104"/>
    </row>
    <row r="258" spans="1:23" ht="12.75">
      <c r="A258" s="161" t="s">
        <v>437</v>
      </c>
      <c r="B258" s="106"/>
      <c r="C258" s="106" t="s">
        <v>278</v>
      </c>
      <c r="D258" s="106" t="s">
        <v>224</v>
      </c>
      <c r="E258" s="106"/>
      <c r="F258" s="106"/>
      <c r="G258" s="39">
        <f aca="true" t="shared" si="100" ref="G258:V258">G259+G262</f>
        <v>45483.6</v>
      </c>
      <c r="H258" s="39">
        <f t="shared" si="100"/>
        <v>1440</v>
      </c>
      <c r="I258" s="39">
        <f t="shared" si="100"/>
        <v>-153.6926</v>
      </c>
      <c r="J258" s="39">
        <f t="shared" si="100"/>
        <v>0</v>
      </c>
      <c r="K258" s="101">
        <f t="shared" si="100"/>
        <v>-64.7</v>
      </c>
      <c r="L258" s="39">
        <f t="shared" si="100"/>
        <v>0</v>
      </c>
      <c r="M258" s="101">
        <f t="shared" si="100"/>
        <v>0</v>
      </c>
      <c r="N258" s="39">
        <f t="shared" si="100"/>
        <v>0</v>
      </c>
      <c r="O258" s="39">
        <f t="shared" si="100"/>
        <v>0</v>
      </c>
      <c r="P258" s="101">
        <f t="shared" si="100"/>
        <v>0</v>
      </c>
      <c r="Q258" s="101">
        <f t="shared" si="100"/>
        <v>0</v>
      </c>
      <c r="R258" s="39">
        <f t="shared" si="100"/>
        <v>0</v>
      </c>
      <c r="S258" s="39">
        <f t="shared" si="100"/>
        <v>-340</v>
      </c>
      <c r="T258" s="39">
        <f t="shared" si="100"/>
        <v>-200</v>
      </c>
      <c r="U258" s="39"/>
      <c r="V258" s="101">
        <f t="shared" si="100"/>
        <v>46165.2074</v>
      </c>
      <c r="W258" s="104"/>
    </row>
    <row r="259" spans="1:23" ht="25.5">
      <c r="A259" s="118" t="s">
        <v>421</v>
      </c>
      <c r="B259" s="108" t="s">
        <v>216</v>
      </c>
      <c r="C259" s="108" t="s">
        <v>278</v>
      </c>
      <c r="D259" s="108" t="s">
        <v>224</v>
      </c>
      <c r="E259" s="108" t="s">
        <v>422</v>
      </c>
      <c r="F259" s="108"/>
      <c r="G259" s="109">
        <f aca="true" t="shared" si="101" ref="G259:M260">G260</f>
        <v>39039.9</v>
      </c>
      <c r="H259" s="109">
        <f t="shared" si="101"/>
        <v>1440</v>
      </c>
      <c r="I259" s="109">
        <f t="shared" si="101"/>
        <v>-153.6926</v>
      </c>
      <c r="J259" s="109">
        <f t="shared" si="101"/>
        <v>0</v>
      </c>
      <c r="K259" s="110">
        <f t="shared" si="101"/>
        <v>0</v>
      </c>
      <c r="L259" s="109">
        <f t="shared" si="101"/>
        <v>0</v>
      </c>
      <c r="M259" s="110">
        <f t="shared" si="101"/>
        <v>0</v>
      </c>
      <c r="N259" s="111"/>
      <c r="O259" s="112"/>
      <c r="P259" s="112"/>
      <c r="Q259" s="112"/>
      <c r="R259" s="112"/>
      <c r="S259" s="112">
        <f>S260</f>
        <v>-340</v>
      </c>
      <c r="T259" s="112"/>
      <c r="U259" s="112"/>
      <c r="V259" s="110">
        <f>V260</f>
        <v>39986.2074</v>
      </c>
      <c r="W259" s="104"/>
    </row>
    <row r="260" spans="1:23" ht="25.5">
      <c r="A260" s="118" t="s">
        <v>251</v>
      </c>
      <c r="B260" s="108" t="s">
        <v>216</v>
      </c>
      <c r="C260" s="108" t="s">
        <v>278</v>
      </c>
      <c r="D260" s="108" t="s">
        <v>224</v>
      </c>
      <c r="E260" s="108" t="s">
        <v>423</v>
      </c>
      <c r="F260" s="108"/>
      <c r="G260" s="109">
        <f t="shared" si="101"/>
        <v>39039.9</v>
      </c>
      <c r="H260" s="109">
        <f t="shared" si="101"/>
        <v>1440</v>
      </c>
      <c r="I260" s="109">
        <f t="shared" si="101"/>
        <v>-153.6926</v>
      </c>
      <c r="J260" s="109">
        <f t="shared" si="101"/>
        <v>0</v>
      </c>
      <c r="K260" s="110">
        <f t="shared" si="101"/>
        <v>0</v>
      </c>
      <c r="L260" s="109">
        <f t="shared" si="101"/>
        <v>0</v>
      </c>
      <c r="M260" s="110">
        <f t="shared" si="101"/>
        <v>0</v>
      </c>
      <c r="N260" s="111"/>
      <c r="O260" s="112"/>
      <c r="P260" s="112"/>
      <c r="Q260" s="112"/>
      <c r="R260" s="112"/>
      <c r="S260" s="112">
        <f>S261</f>
        <v>-340</v>
      </c>
      <c r="T260" s="112"/>
      <c r="U260" s="112"/>
      <c r="V260" s="110">
        <f>V261</f>
        <v>39986.2074</v>
      </c>
      <c r="W260" s="104"/>
    </row>
    <row r="261" spans="1:23" ht="25.5">
      <c r="A261" s="118" t="s">
        <v>253</v>
      </c>
      <c r="B261" s="108" t="s">
        <v>216</v>
      </c>
      <c r="C261" s="108" t="s">
        <v>278</v>
      </c>
      <c r="D261" s="108" t="s">
        <v>224</v>
      </c>
      <c r="E261" s="108" t="s">
        <v>423</v>
      </c>
      <c r="F261" s="108" t="s">
        <v>254</v>
      </c>
      <c r="G261" s="109">
        <v>39039.9</v>
      </c>
      <c r="H261" s="113">
        <v>1440</v>
      </c>
      <c r="I261" s="113">
        <v>-153.6926</v>
      </c>
      <c r="J261" s="113"/>
      <c r="K261" s="114"/>
      <c r="L261" s="113"/>
      <c r="M261" s="114"/>
      <c r="N261" s="115"/>
      <c r="O261" s="116"/>
      <c r="P261" s="116"/>
      <c r="Q261" s="116"/>
      <c r="R261" s="116"/>
      <c r="S261" s="116">
        <v>-340</v>
      </c>
      <c r="T261" s="116"/>
      <c r="U261" s="116"/>
      <c r="V261" s="114">
        <f>G261+H261+I261+S261</f>
        <v>39986.2074</v>
      </c>
      <c r="W261" s="104"/>
    </row>
    <row r="262" spans="1:23" ht="76.5">
      <c r="A262" s="107" t="s">
        <v>434</v>
      </c>
      <c r="B262" s="108" t="s">
        <v>216</v>
      </c>
      <c r="C262" s="108" t="s">
        <v>278</v>
      </c>
      <c r="D262" s="108" t="s">
        <v>224</v>
      </c>
      <c r="E262" s="108" t="s">
        <v>435</v>
      </c>
      <c r="F262" s="108"/>
      <c r="G262" s="109">
        <f aca="true" t="shared" si="102" ref="G262:M262">G263</f>
        <v>6443.7</v>
      </c>
      <c r="H262" s="109">
        <f t="shared" si="102"/>
        <v>0</v>
      </c>
      <c r="I262" s="109">
        <f t="shared" si="102"/>
        <v>0</v>
      </c>
      <c r="J262" s="109">
        <f t="shared" si="102"/>
        <v>0</v>
      </c>
      <c r="K262" s="110">
        <f t="shared" si="102"/>
        <v>-64.7</v>
      </c>
      <c r="L262" s="109">
        <f t="shared" si="102"/>
        <v>0</v>
      </c>
      <c r="M262" s="110">
        <f t="shared" si="102"/>
        <v>0</v>
      </c>
      <c r="N262" s="111"/>
      <c r="O262" s="112"/>
      <c r="P262" s="112"/>
      <c r="Q262" s="112"/>
      <c r="R262" s="112"/>
      <c r="S262" s="112"/>
      <c r="T262" s="112">
        <f>T263</f>
        <v>-200</v>
      </c>
      <c r="U262" s="112"/>
      <c r="V262" s="110">
        <f>V263</f>
        <v>6179</v>
      </c>
      <c r="W262" s="104"/>
    </row>
    <row r="263" spans="1:23" ht="25.5">
      <c r="A263" s="107" t="s">
        <v>253</v>
      </c>
      <c r="B263" s="108" t="s">
        <v>216</v>
      </c>
      <c r="C263" s="108" t="s">
        <v>278</v>
      </c>
      <c r="D263" s="108" t="s">
        <v>224</v>
      </c>
      <c r="E263" s="108" t="s">
        <v>435</v>
      </c>
      <c r="F263" s="108" t="s">
        <v>254</v>
      </c>
      <c r="G263" s="109">
        <v>6443.7</v>
      </c>
      <c r="H263" s="113"/>
      <c r="I263" s="113"/>
      <c r="J263" s="113"/>
      <c r="K263" s="114">
        <v>-64.7</v>
      </c>
      <c r="L263" s="113"/>
      <c r="M263" s="114"/>
      <c r="N263" s="115"/>
      <c r="O263" s="116"/>
      <c r="P263" s="116"/>
      <c r="Q263" s="116"/>
      <c r="R263" s="116"/>
      <c r="S263" s="116"/>
      <c r="T263" s="116">
        <v>-200</v>
      </c>
      <c r="U263" s="116"/>
      <c r="V263" s="114">
        <f>G263+H263+I263+K263+T263</f>
        <v>6179</v>
      </c>
      <c r="W263" s="104"/>
    </row>
    <row r="264" spans="1:23" ht="25.5">
      <c r="A264" s="105" t="s">
        <v>438</v>
      </c>
      <c r="B264" s="108"/>
      <c r="C264" s="106" t="s">
        <v>278</v>
      </c>
      <c r="D264" s="106" t="s">
        <v>278</v>
      </c>
      <c r="E264" s="108"/>
      <c r="F264" s="108"/>
      <c r="G264" s="39">
        <f aca="true" t="shared" si="103" ref="G264:V264">G265</f>
        <v>1395</v>
      </c>
      <c r="H264" s="39">
        <f t="shared" si="103"/>
        <v>0</v>
      </c>
      <c r="I264" s="39">
        <f t="shared" si="103"/>
        <v>0</v>
      </c>
      <c r="J264" s="39">
        <f t="shared" si="103"/>
        <v>0</v>
      </c>
      <c r="K264" s="101">
        <f t="shared" si="103"/>
        <v>0</v>
      </c>
      <c r="L264" s="39">
        <f t="shared" si="103"/>
        <v>0</v>
      </c>
      <c r="M264" s="101">
        <f t="shared" si="103"/>
        <v>0</v>
      </c>
      <c r="N264" s="39">
        <f t="shared" si="103"/>
        <v>0</v>
      </c>
      <c r="O264" s="39">
        <f t="shared" si="103"/>
        <v>0</v>
      </c>
      <c r="P264" s="101">
        <f t="shared" si="103"/>
        <v>0</v>
      </c>
      <c r="Q264" s="101">
        <f t="shared" si="103"/>
        <v>0</v>
      </c>
      <c r="R264" s="39">
        <f t="shared" si="103"/>
        <v>0</v>
      </c>
      <c r="S264" s="39">
        <f t="shared" si="103"/>
        <v>0</v>
      </c>
      <c r="T264" s="39">
        <f t="shared" si="103"/>
        <v>0</v>
      </c>
      <c r="U264" s="39"/>
      <c r="V264" s="101">
        <f t="shared" si="103"/>
        <v>1395</v>
      </c>
      <c r="W264" s="104"/>
    </row>
    <row r="265" spans="1:23" ht="25.5">
      <c r="A265" s="118" t="s">
        <v>265</v>
      </c>
      <c r="B265" s="108" t="s">
        <v>216</v>
      </c>
      <c r="C265" s="108" t="s">
        <v>278</v>
      </c>
      <c r="D265" s="108" t="s">
        <v>278</v>
      </c>
      <c r="E265" s="108" t="s">
        <v>396</v>
      </c>
      <c r="F265" s="108"/>
      <c r="G265" s="109">
        <f aca="true" t="shared" si="104" ref="G265:M265">G266</f>
        <v>1395</v>
      </c>
      <c r="H265" s="109">
        <f t="shared" si="104"/>
        <v>0</v>
      </c>
      <c r="I265" s="109">
        <f t="shared" si="104"/>
        <v>0</v>
      </c>
      <c r="J265" s="109">
        <f t="shared" si="104"/>
        <v>0</v>
      </c>
      <c r="K265" s="110">
        <f t="shared" si="104"/>
        <v>0</v>
      </c>
      <c r="L265" s="109">
        <f t="shared" si="104"/>
        <v>0</v>
      </c>
      <c r="M265" s="110">
        <f t="shared" si="104"/>
        <v>0</v>
      </c>
      <c r="N265" s="111"/>
      <c r="O265" s="112"/>
      <c r="P265" s="112"/>
      <c r="Q265" s="112"/>
      <c r="R265" s="112"/>
      <c r="S265" s="112"/>
      <c r="T265" s="112"/>
      <c r="U265" s="112"/>
      <c r="V265" s="110">
        <f>V266</f>
        <v>1395</v>
      </c>
      <c r="W265" s="104"/>
    </row>
    <row r="266" spans="1:23" ht="25.5">
      <c r="A266" s="107" t="s">
        <v>221</v>
      </c>
      <c r="B266" s="108" t="s">
        <v>216</v>
      </c>
      <c r="C266" s="108" t="s">
        <v>278</v>
      </c>
      <c r="D266" s="108" t="s">
        <v>278</v>
      </c>
      <c r="E266" s="108" t="s">
        <v>396</v>
      </c>
      <c r="F266" s="108" t="s">
        <v>229</v>
      </c>
      <c r="G266" s="109">
        <v>1395</v>
      </c>
      <c r="H266" s="113"/>
      <c r="I266" s="113"/>
      <c r="J266" s="113"/>
      <c r="K266" s="114"/>
      <c r="L266" s="113"/>
      <c r="M266" s="114"/>
      <c r="N266" s="115"/>
      <c r="O266" s="116"/>
      <c r="P266" s="116"/>
      <c r="Q266" s="116"/>
      <c r="R266" s="116"/>
      <c r="S266" s="116"/>
      <c r="T266" s="116"/>
      <c r="U266" s="116"/>
      <c r="V266" s="114">
        <f>G266+H266+I266</f>
        <v>1395</v>
      </c>
      <c r="W266" s="104"/>
    </row>
    <row r="267" spans="1:23" ht="12.75">
      <c r="A267" s="105" t="s">
        <v>439</v>
      </c>
      <c r="B267" s="106"/>
      <c r="C267" s="106">
        <v>10</v>
      </c>
      <c r="D267" s="106"/>
      <c r="E267" s="106"/>
      <c r="F267" s="106"/>
      <c r="G267" s="39">
        <f aca="true" t="shared" si="105" ref="G267:V267">G268+G271+G286+G306</f>
        <v>104591.9</v>
      </c>
      <c r="H267" s="39">
        <f t="shared" si="105"/>
        <v>8241</v>
      </c>
      <c r="I267" s="39">
        <f t="shared" si="105"/>
        <v>0</v>
      </c>
      <c r="J267" s="39">
        <f t="shared" si="105"/>
        <v>161.5</v>
      </c>
      <c r="K267" s="101">
        <f t="shared" si="105"/>
        <v>0</v>
      </c>
      <c r="L267" s="39">
        <f t="shared" si="105"/>
        <v>-14411.673999999999</v>
      </c>
      <c r="M267" s="101">
        <f t="shared" si="105"/>
        <v>0</v>
      </c>
      <c r="N267" s="39">
        <f t="shared" si="105"/>
        <v>5324.406</v>
      </c>
      <c r="O267" s="101">
        <f t="shared" si="105"/>
        <v>0</v>
      </c>
      <c r="P267" s="101">
        <f t="shared" si="105"/>
        <v>0</v>
      </c>
      <c r="Q267" s="101">
        <f t="shared" si="105"/>
        <v>115</v>
      </c>
      <c r="R267" s="101">
        <f t="shared" si="105"/>
        <v>1395.2</v>
      </c>
      <c r="S267" s="101">
        <f t="shared" si="105"/>
        <v>120</v>
      </c>
      <c r="T267" s="101">
        <f t="shared" si="105"/>
        <v>-3558.40517</v>
      </c>
      <c r="U267" s="101">
        <f t="shared" si="105"/>
        <v>120.194</v>
      </c>
      <c r="V267" s="101">
        <f t="shared" si="105"/>
        <v>102114.12083</v>
      </c>
      <c r="W267" s="104"/>
    </row>
    <row r="268" spans="1:23" ht="12.75">
      <c r="A268" s="105" t="s">
        <v>440</v>
      </c>
      <c r="B268" s="106"/>
      <c r="C268" s="106">
        <v>10</v>
      </c>
      <c r="D268" s="106" t="s">
        <v>211</v>
      </c>
      <c r="E268" s="106"/>
      <c r="F268" s="106"/>
      <c r="G268" s="39">
        <f aca="true" t="shared" si="106" ref="G268:V269">G269</f>
        <v>282</v>
      </c>
      <c r="H268" s="39">
        <f t="shared" si="106"/>
        <v>0</v>
      </c>
      <c r="I268" s="39">
        <f t="shared" si="106"/>
        <v>0</v>
      </c>
      <c r="J268" s="39">
        <f t="shared" si="106"/>
        <v>0</v>
      </c>
      <c r="K268" s="101">
        <f t="shared" si="106"/>
        <v>0</v>
      </c>
      <c r="L268" s="39">
        <f t="shared" si="106"/>
        <v>0</v>
      </c>
      <c r="M268" s="101">
        <f t="shared" si="106"/>
        <v>0</v>
      </c>
      <c r="N268" s="39">
        <f t="shared" si="106"/>
        <v>250</v>
      </c>
      <c r="O268" s="101">
        <f t="shared" si="106"/>
        <v>0</v>
      </c>
      <c r="P268" s="101">
        <f t="shared" si="106"/>
        <v>0</v>
      </c>
      <c r="Q268" s="101">
        <f t="shared" si="106"/>
        <v>0</v>
      </c>
      <c r="R268" s="101">
        <f t="shared" si="106"/>
        <v>0</v>
      </c>
      <c r="S268" s="101">
        <f t="shared" si="106"/>
        <v>100</v>
      </c>
      <c r="T268" s="101">
        <f t="shared" si="106"/>
        <v>0</v>
      </c>
      <c r="U268" s="101">
        <f t="shared" si="106"/>
        <v>120.194</v>
      </c>
      <c r="V268" s="101">
        <f t="shared" si="106"/>
        <v>752.194</v>
      </c>
      <c r="W268" s="104"/>
    </row>
    <row r="269" spans="1:23" ht="63.75">
      <c r="A269" s="107" t="s">
        <v>441</v>
      </c>
      <c r="B269" s="108" t="s">
        <v>216</v>
      </c>
      <c r="C269" s="162">
        <v>10</v>
      </c>
      <c r="D269" s="108" t="s">
        <v>211</v>
      </c>
      <c r="E269" s="162" t="s">
        <v>442</v>
      </c>
      <c r="F269" s="108"/>
      <c r="G269" s="109">
        <f aca="true" t="shared" si="107" ref="G269:O269">G270</f>
        <v>282</v>
      </c>
      <c r="H269" s="109">
        <f t="shared" si="107"/>
        <v>0</v>
      </c>
      <c r="I269" s="109">
        <f t="shared" si="107"/>
        <v>0</v>
      </c>
      <c r="J269" s="109">
        <f t="shared" si="107"/>
        <v>0</v>
      </c>
      <c r="K269" s="110">
        <f t="shared" si="107"/>
        <v>0</v>
      </c>
      <c r="L269" s="109">
        <f t="shared" si="107"/>
        <v>0</v>
      </c>
      <c r="M269" s="110">
        <f t="shared" si="107"/>
        <v>0</v>
      </c>
      <c r="N269" s="109">
        <f t="shared" si="107"/>
        <v>250</v>
      </c>
      <c r="O269" s="110">
        <f t="shared" si="107"/>
        <v>0</v>
      </c>
      <c r="P269" s="110"/>
      <c r="Q269" s="110"/>
      <c r="R269" s="110"/>
      <c r="S269" s="110">
        <f>S270</f>
        <v>100</v>
      </c>
      <c r="T269" s="110">
        <f t="shared" si="106"/>
        <v>0</v>
      </c>
      <c r="U269" s="110">
        <f t="shared" si="106"/>
        <v>120.194</v>
      </c>
      <c r="V269" s="110">
        <f>V270</f>
        <v>752.194</v>
      </c>
      <c r="W269" s="104"/>
    </row>
    <row r="270" spans="1:23" ht="12.75">
      <c r="A270" s="107" t="s">
        <v>443</v>
      </c>
      <c r="B270" s="108" t="s">
        <v>216</v>
      </c>
      <c r="C270" s="162">
        <v>10</v>
      </c>
      <c r="D270" s="108" t="s">
        <v>211</v>
      </c>
      <c r="E270" s="162" t="s">
        <v>442</v>
      </c>
      <c r="F270" s="108" t="s">
        <v>444</v>
      </c>
      <c r="G270" s="109">
        <v>282</v>
      </c>
      <c r="H270" s="113"/>
      <c r="I270" s="113"/>
      <c r="J270" s="113"/>
      <c r="K270" s="114"/>
      <c r="L270" s="113"/>
      <c r="M270" s="114"/>
      <c r="N270" s="115">
        <v>250</v>
      </c>
      <c r="O270" s="116"/>
      <c r="P270" s="116"/>
      <c r="Q270" s="116"/>
      <c r="R270" s="116"/>
      <c r="S270" s="116">
        <v>100</v>
      </c>
      <c r="T270" s="116"/>
      <c r="U270" s="116">
        <v>120.194</v>
      </c>
      <c r="V270" s="114">
        <f>G270+H270+I270+N270+S270+U270</f>
        <v>752.194</v>
      </c>
      <c r="W270" s="104"/>
    </row>
    <row r="271" spans="1:23" ht="12.75">
      <c r="A271" s="118" t="s">
        <v>445</v>
      </c>
      <c r="B271" s="108"/>
      <c r="C271" s="88">
        <v>10</v>
      </c>
      <c r="D271" s="106" t="s">
        <v>268</v>
      </c>
      <c r="E271" s="162"/>
      <c r="F271" s="108"/>
      <c r="G271" s="119">
        <f>G274+G278+G280+G282+G284+G276</f>
        <v>61479</v>
      </c>
      <c r="H271" s="119">
        <f>H274+H278+H280+H282+H284+H276</f>
        <v>0</v>
      </c>
      <c r="I271" s="119">
        <f>I274+I278+I280+I282+I284+I276</f>
        <v>-8580</v>
      </c>
      <c r="J271" s="119">
        <f aca="true" t="shared" si="108" ref="J271:V271">J274+J278+J280+J282+J284+J276+J272</f>
        <v>161.5</v>
      </c>
      <c r="K271" s="120">
        <f t="shared" si="108"/>
        <v>0</v>
      </c>
      <c r="L271" s="119">
        <f t="shared" si="108"/>
        <v>-9567</v>
      </c>
      <c r="M271" s="120">
        <f t="shared" si="108"/>
        <v>0</v>
      </c>
      <c r="N271" s="119">
        <f t="shared" si="108"/>
        <v>0</v>
      </c>
      <c r="O271" s="119">
        <f t="shared" si="108"/>
        <v>0</v>
      </c>
      <c r="P271" s="120">
        <f t="shared" si="108"/>
        <v>0</v>
      </c>
      <c r="Q271" s="120">
        <f t="shared" si="108"/>
        <v>115</v>
      </c>
      <c r="R271" s="119">
        <f t="shared" si="108"/>
        <v>0</v>
      </c>
      <c r="S271" s="119">
        <f t="shared" si="108"/>
        <v>20</v>
      </c>
      <c r="T271" s="119">
        <f t="shared" si="108"/>
        <v>-3558.40517</v>
      </c>
      <c r="U271" s="119"/>
      <c r="V271" s="120">
        <f t="shared" si="108"/>
        <v>40085.09483</v>
      </c>
      <c r="W271" s="104"/>
    </row>
    <row r="272" spans="1:23" ht="25.5">
      <c r="A272" s="128" t="s">
        <v>446</v>
      </c>
      <c r="B272" s="108" t="s">
        <v>216</v>
      </c>
      <c r="C272" s="162">
        <v>10</v>
      </c>
      <c r="D272" s="108" t="s">
        <v>268</v>
      </c>
      <c r="E272" s="162">
        <v>1040200</v>
      </c>
      <c r="F272" s="108"/>
      <c r="G272" s="157"/>
      <c r="H272" s="157"/>
      <c r="I272" s="157"/>
      <c r="J272" s="157">
        <f>J273</f>
        <v>161.5</v>
      </c>
      <c r="K272" s="158">
        <f>K273</f>
        <v>0</v>
      </c>
      <c r="L272" s="157">
        <f>L273</f>
        <v>0</v>
      </c>
      <c r="M272" s="158">
        <f>M273</f>
        <v>0</v>
      </c>
      <c r="N272" s="159"/>
      <c r="O272" s="160"/>
      <c r="P272" s="160"/>
      <c r="Q272" s="160"/>
      <c r="R272" s="160"/>
      <c r="S272" s="160"/>
      <c r="T272" s="160"/>
      <c r="U272" s="160"/>
      <c r="V272" s="158">
        <f>V273</f>
        <v>161.5</v>
      </c>
      <c r="W272" s="104"/>
    </row>
    <row r="273" spans="1:23" ht="12.75">
      <c r="A273" s="154" t="s">
        <v>285</v>
      </c>
      <c r="B273" s="108" t="s">
        <v>216</v>
      </c>
      <c r="C273" s="162">
        <v>10</v>
      </c>
      <c r="D273" s="108" t="s">
        <v>268</v>
      </c>
      <c r="E273" s="162">
        <v>1040200</v>
      </c>
      <c r="F273" s="108" t="s">
        <v>216</v>
      </c>
      <c r="G273" s="157"/>
      <c r="H273" s="157"/>
      <c r="I273" s="157"/>
      <c r="J273" s="157">
        <v>161.5</v>
      </c>
      <c r="K273" s="158"/>
      <c r="L273" s="157"/>
      <c r="M273" s="158"/>
      <c r="N273" s="159"/>
      <c r="O273" s="160"/>
      <c r="P273" s="160"/>
      <c r="Q273" s="160"/>
      <c r="R273" s="160"/>
      <c r="S273" s="160"/>
      <c r="T273" s="160"/>
      <c r="U273" s="160"/>
      <c r="V273" s="158">
        <f>J273</f>
        <v>161.5</v>
      </c>
      <c r="W273" s="104"/>
    </row>
    <row r="274" spans="1:23" ht="38.25">
      <c r="A274" s="163" t="s">
        <v>447</v>
      </c>
      <c r="B274" s="108" t="s">
        <v>216</v>
      </c>
      <c r="C274" s="162">
        <v>10</v>
      </c>
      <c r="D274" s="108" t="s">
        <v>268</v>
      </c>
      <c r="E274" s="162">
        <v>5054800</v>
      </c>
      <c r="F274" s="108"/>
      <c r="G274" s="157">
        <f aca="true" t="shared" si="109" ref="G274:M274">G275</f>
        <v>21262</v>
      </c>
      <c r="H274" s="157">
        <f t="shared" si="109"/>
        <v>0</v>
      </c>
      <c r="I274" s="157">
        <f t="shared" si="109"/>
        <v>0</v>
      </c>
      <c r="J274" s="157">
        <f t="shared" si="109"/>
        <v>0</v>
      </c>
      <c r="K274" s="158">
        <f t="shared" si="109"/>
        <v>0</v>
      </c>
      <c r="L274" s="157">
        <f t="shared" si="109"/>
        <v>-9567</v>
      </c>
      <c r="M274" s="158">
        <f t="shared" si="109"/>
        <v>0</v>
      </c>
      <c r="N274" s="158">
        <f aca="true" t="shared" si="110" ref="N274:V274">N275</f>
        <v>0</v>
      </c>
      <c r="O274" s="158">
        <f t="shared" si="110"/>
        <v>0</v>
      </c>
      <c r="P274" s="158">
        <f t="shared" si="110"/>
        <v>0</v>
      </c>
      <c r="Q274" s="158">
        <f t="shared" si="110"/>
        <v>0</v>
      </c>
      <c r="R274" s="158">
        <f t="shared" si="110"/>
        <v>0</v>
      </c>
      <c r="S274" s="158">
        <f t="shared" si="110"/>
        <v>0</v>
      </c>
      <c r="T274" s="158">
        <f t="shared" si="110"/>
        <v>-3558.40517</v>
      </c>
      <c r="U274" s="158"/>
      <c r="V274" s="158">
        <f t="shared" si="110"/>
        <v>8136.59483</v>
      </c>
      <c r="W274" s="104"/>
    </row>
    <row r="275" spans="1:23" ht="12.75">
      <c r="A275" s="107" t="s">
        <v>443</v>
      </c>
      <c r="B275" s="108" t="s">
        <v>216</v>
      </c>
      <c r="C275" s="162">
        <v>10</v>
      </c>
      <c r="D275" s="108" t="s">
        <v>268</v>
      </c>
      <c r="E275" s="162">
        <v>5054800</v>
      </c>
      <c r="F275" s="108" t="s">
        <v>444</v>
      </c>
      <c r="G275" s="157">
        <v>21262</v>
      </c>
      <c r="H275" s="113"/>
      <c r="I275" s="113"/>
      <c r="J275" s="113"/>
      <c r="K275" s="114"/>
      <c r="L275" s="113">
        <v>-9567</v>
      </c>
      <c r="M275" s="114"/>
      <c r="N275" s="115"/>
      <c r="O275" s="116"/>
      <c r="P275" s="116"/>
      <c r="Q275" s="116"/>
      <c r="R275" s="116"/>
      <c r="S275" s="116"/>
      <c r="T275" s="116">
        <v>-3558.40517</v>
      </c>
      <c r="U275" s="116"/>
      <c r="V275" s="114">
        <f>G275+H275+I275+L275+T275</f>
        <v>8136.59483</v>
      </c>
      <c r="W275" s="104"/>
    </row>
    <row r="276" spans="1:23" ht="51">
      <c r="A276" s="107" t="s">
        <v>448</v>
      </c>
      <c r="B276" s="108" t="s">
        <v>216</v>
      </c>
      <c r="C276" s="162">
        <v>10</v>
      </c>
      <c r="D276" s="108" t="s">
        <v>268</v>
      </c>
      <c r="E276" s="162">
        <v>5053600</v>
      </c>
      <c r="F276" s="108"/>
      <c r="G276" s="157">
        <f aca="true" t="shared" si="111" ref="G276:M276">G277</f>
        <v>8580</v>
      </c>
      <c r="H276" s="157">
        <f t="shared" si="111"/>
        <v>0</v>
      </c>
      <c r="I276" s="157">
        <f t="shared" si="111"/>
        <v>-8580</v>
      </c>
      <c r="J276" s="157">
        <f t="shared" si="111"/>
        <v>0</v>
      </c>
      <c r="K276" s="158">
        <f t="shared" si="111"/>
        <v>0</v>
      </c>
      <c r="L276" s="157">
        <f t="shared" si="111"/>
        <v>0</v>
      </c>
      <c r="M276" s="158">
        <f t="shared" si="111"/>
        <v>0</v>
      </c>
      <c r="N276" s="159"/>
      <c r="O276" s="160"/>
      <c r="P276" s="160"/>
      <c r="Q276" s="160"/>
      <c r="R276" s="160"/>
      <c r="S276" s="160"/>
      <c r="T276" s="160"/>
      <c r="U276" s="160"/>
      <c r="V276" s="158">
        <f>V277</f>
        <v>0</v>
      </c>
      <c r="W276" s="104"/>
    </row>
    <row r="277" spans="1:23" ht="12.75">
      <c r="A277" s="107" t="s">
        <v>443</v>
      </c>
      <c r="B277" s="108" t="s">
        <v>216</v>
      </c>
      <c r="C277" s="162">
        <v>10</v>
      </c>
      <c r="D277" s="108" t="s">
        <v>268</v>
      </c>
      <c r="E277" s="162">
        <v>5053600</v>
      </c>
      <c r="F277" s="108" t="s">
        <v>444</v>
      </c>
      <c r="G277" s="157">
        <v>8580</v>
      </c>
      <c r="H277" s="113"/>
      <c r="I277" s="113">
        <v>-8580</v>
      </c>
      <c r="J277" s="113"/>
      <c r="K277" s="114"/>
      <c r="L277" s="113"/>
      <c r="M277" s="114"/>
      <c r="N277" s="115"/>
      <c r="O277" s="116"/>
      <c r="P277" s="116"/>
      <c r="Q277" s="116"/>
      <c r="R277" s="116"/>
      <c r="S277" s="116"/>
      <c r="T277" s="116"/>
      <c r="U277" s="116"/>
      <c r="V277" s="114">
        <f>G277+H277+I277</f>
        <v>0</v>
      </c>
      <c r="W277" s="104"/>
    </row>
    <row r="278" spans="1:23" ht="12.75">
      <c r="A278" s="118" t="s">
        <v>449</v>
      </c>
      <c r="B278" s="108" t="s">
        <v>216</v>
      </c>
      <c r="C278" s="162">
        <v>10</v>
      </c>
      <c r="D278" s="108" t="s">
        <v>268</v>
      </c>
      <c r="E278" s="162">
        <v>5058690</v>
      </c>
      <c r="F278" s="108"/>
      <c r="G278" s="109">
        <f aca="true" t="shared" si="112" ref="G278:M278">G279</f>
        <v>32</v>
      </c>
      <c r="H278" s="109">
        <f t="shared" si="112"/>
        <v>0</v>
      </c>
      <c r="I278" s="109">
        <f t="shared" si="112"/>
        <v>0</v>
      </c>
      <c r="J278" s="109">
        <f t="shared" si="112"/>
        <v>0</v>
      </c>
      <c r="K278" s="110">
        <f t="shared" si="112"/>
        <v>0</v>
      </c>
      <c r="L278" s="109">
        <f t="shared" si="112"/>
        <v>0</v>
      </c>
      <c r="M278" s="110">
        <f t="shared" si="112"/>
        <v>0</v>
      </c>
      <c r="N278" s="111"/>
      <c r="O278" s="112"/>
      <c r="P278" s="112"/>
      <c r="Q278" s="112">
        <f>Q279</f>
        <v>115</v>
      </c>
      <c r="R278" s="112"/>
      <c r="S278" s="112">
        <f>S279</f>
        <v>20</v>
      </c>
      <c r="T278" s="112">
        <f>T279</f>
        <v>0</v>
      </c>
      <c r="U278" s="112">
        <f>U279</f>
        <v>15</v>
      </c>
      <c r="V278" s="110">
        <f>V279</f>
        <v>182</v>
      </c>
      <c r="W278" s="104"/>
    </row>
    <row r="279" spans="1:23" ht="12.75">
      <c r="A279" s="107" t="s">
        <v>443</v>
      </c>
      <c r="B279" s="108" t="s">
        <v>216</v>
      </c>
      <c r="C279" s="162">
        <v>10</v>
      </c>
      <c r="D279" s="108" t="s">
        <v>268</v>
      </c>
      <c r="E279" s="162">
        <v>5058690</v>
      </c>
      <c r="F279" s="108" t="s">
        <v>444</v>
      </c>
      <c r="G279" s="109">
        <v>32</v>
      </c>
      <c r="H279" s="113"/>
      <c r="I279" s="113"/>
      <c r="J279" s="113"/>
      <c r="K279" s="114"/>
      <c r="L279" s="113"/>
      <c r="M279" s="114"/>
      <c r="N279" s="115"/>
      <c r="O279" s="116"/>
      <c r="P279" s="116"/>
      <c r="Q279" s="116">
        <v>115</v>
      </c>
      <c r="R279" s="116"/>
      <c r="S279" s="116">
        <f>10+4.40354+5.59646</f>
        <v>20</v>
      </c>
      <c r="T279" s="116"/>
      <c r="U279" s="116">
        <v>15</v>
      </c>
      <c r="V279" s="114">
        <f>G279+H279+I279+Q279+S279+U279</f>
        <v>182</v>
      </c>
      <c r="W279" s="104"/>
    </row>
    <row r="280" spans="1:23" ht="63.75">
      <c r="A280" s="107" t="s">
        <v>450</v>
      </c>
      <c r="B280" s="108" t="s">
        <v>216</v>
      </c>
      <c r="C280" s="162">
        <v>10</v>
      </c>
      <c r="D280" s="108" t="s">
        <v>268</v>
      </c>
      <c r="E280" s="162" t="s">
        <v>451</v>
      </c>
      <c r="F280" s="108"/>
      <c r="G280" s="109">
        <f aca="true" t="shared" si="113" ref="G280:M280">G281</f>
        <v>9150</v>
      </c>
      <c r="H280" s="109">
        <f t="shared" si="113"/>
        <v>0</v>
      </c>
      <c r="I280" s="109">
        <f t="shared" si="113"/>
        <v>0</v>
      </c>
      <c r="J280" s="109">
        <f t="shared" si="113"/>
        <v>0</v>
      </c>
      <c r="K280" s="110">
        <f t="shared" si="113"/>
        <v>0</v>
      </c>
      <c r="L280" s="109">
        <f t="shared" si="113"/>
        <v>0</v>
      </c>
      <c r="M280" s="110">
        <f t="shared" si="113"/>
        <v>0</v>
      </c>
      <c r="N280" s="111"/>
      <c r="O280" s="112"/>
      <c r="P280" s="112"/>
      <c r="Q280" s="112"/>
      <c r="R280" s="112"/>
      <c r="S280" s="112"/>
      <c r="T280" s="112"/>
      <c r="U280" s="112"/>
      <c r="V280" s="110">
        <f>V281</f>
        <v>9150</v>
      </c>
      <c r="W280" s="104"/>
    </row>
    <row r="281" spans="1:23" ht="25.5">
      <c r="A281" s="107" t="s">
        <v>221</v>
      </c>
      <c r="B281" s="108" t="s">
        <v>216</v>
      </c>
      <c r="C281" s="162">
        <v>10</v>
      </c>
      <c r="D281" s="108" t="s">
        <v>268</v>
      </c>
      <c r="E281" s="162" t="s">
        <v>451</v>
      </c>
      <c r="F281" s="162">
        <v>500</v>
      </c>
      <c r="G281" s="109">
        <v>9150</v>
      </c>
      <c r="H281" s="113"/>
      <c r="I281" s="113"/>
      <c r="J281" s="113"/>
      <c r="K281" s="114"/>
      <c r="L281" s="113"/>
      <c r="M281" s="114"/>
      <c r="N281" s="115"/>
      <c r="O281" s="116"/>
      <c r="P281" s="116"/>
      <c r="Q281" s="116"/>
      <c r="R281" s="116"/>
      <c r="S281" s="116"/>
      <c r="T281" s="116"/>
      <c r="U281" s="116"/>
      <c r="V281" s="114">
        <f>G281+H281+I281</f>
        <v>9150</v>
      </c>
      <c r="W281" s="104"/>
    </row>
    <row r="282" spans="1:23" ht="25.5">
      <c r="A282" s="107" t="s">
        <v>452</v>
      </c>
      <c r="B282" s="108" t="s">
        <v>216</v>
      </c>
      <c r="C282" s="162">
        <v>10</v>
      </c>
      <c r="D282" s="108" t="s">
        <v>268</v>
      </c>
      <c r="E282" s="162" t="s">
        <v>453</v>
      </c>
      <c r="F282" s="108"/>
      <c r="G282" s="109">
        <f aca="true" t="shared" si="114" ref="G282:M282">G283</f>
        <v>17776</v>
      </c>
      <c r="H282" s="109">
        <f t="shared" si="114"/>
        <v>0</v>
      </c>
      <c r="I282" s="109">
        <f t="shared" si="114"/>
        <v>0</v>
      </c>
      <c r="J282" s="109">
        <f t="shared" si="114"/>
        <v>0</v>
      </c>
      <c r="K282" s="110">
        <f t="shared" si="114"/>
        <v>0</v>
      </c>
      <c r="L282" s="109">
        <f t="shared" si="114"/>
        <v>0</v>
      </c>
      <c r="M282" s="110">
        <f t="shared" si="114"/>
        <v>0</v>
      </c>
      <c r="N282" s="111"/>
      <c r="O282" s="112"/>
      <c r="P282" s="112"/>
      <c r="Q282" s="112"/>
      <c r="R282" s="112"/>
      <c r="S282" s="112"/>
      <c r="T282" s="112"/>
      <c r="U282" s="112"/>
      <c r="V282" s="110">
        <f>V283</f>
        <v>17776</v>
      </c>
      <c r="W282" s="104"/>
    </row>
    <row r="283" spans="1:23" ht="25.5">
      <c r="A283" s="107" t="s">
        <v>221</v>
      </c>
      <c r="B283" s="108" t="s">
        <v>216</v>
      </c>
      <c r="C283" s="162">
        <v>10</v>
      </c>
      <c r="D283" s="108" t="s">
        <v>268</v>
      </c>
      <c r="E283" s="162" t="s">
        <v>453</v>
      </c>
      <c r="F283" s="162">
        <v>500</v>
      </c>
      <c r="G283" s="109">
        <v>17776</v>
      </c>
      <c r="H283" s="113"/>
      <c r="I283" s="113"/>
      <c r="J283" s="113"/>
      <c r="K283" s="114"/>
      <c r="L283" s="113"/>
      <c r="M283" s="114"/>
      <c r="N283" s="115"/>
      <c r="O283" s="116"/>
      <c r="P283" s="116"/>
      <c r="Q283" s="116"/>
      <c r="R283" s="116"/>
      <c r="S283" s="116"/>
      <c r="T283" s="116"/>
      <c r="U283" s="116"/>
      <c r="V283" s="114">
        <f>G283+H283+I283</f>
        <v>17776</v>
      </c>
      <c r="W283" s="104"/>
    </row>
    <row r="284" spans="1:23" ht="63.75">
      <c r="A284" s="107" t="s">
        <v>454</v>
      </c>
      <c r="B284" s="108" t="s">
        <v>216</v>
      </c>
      <c r="C284" s="162">
        <v>10</v>
      </c>
      <c r="D284" s="108" t="s">
        <v>268</v>
      </c>
      <c r="E284" s="162" t="s">
        <v>455</v>
      </c>
      <c r="F284" s="108"/>
      <c r="G284" s="109">
        <f aca="true" t="shared" si="115" ref="G284:M284">G285</f>
        <v>4679</v>
      </c>
      <c r="H284" s="109">
        <f t="shared" si="115"/>
        <v>0</v>
      </c>
      <c r="I284" s="109">
        <f t="shared" si="115"/>
        <v>0</v>
      </c>
      <c r="J284" s="109">
        <f t="shared" si="115"/>
        <v>0</v>
      </c>
      <c r="K284" s="110">
        <f t="shared" si="115"/>
        <v>0</v>
      </c>
      <c r="L284" s="109">
        <f t="shared" si="115"/>
        <v>0</v>
      </c>
      <c r="M284" s="110">
        <f t="shared" si="115"/>
        <v>0</v>
      </c>
      <c r="N284" s="111"/>
      <c r="O284" s="112"/>
      <c r="P284" s="112"/>
      <c r="Q284" s="112"/>
      <c r="R284" s="112"/>
      <c r="S284" s="112"/>
      <c r="T284" s="112"/>
      <c r="U284" s="112"/>
      <c r="V284" s="110">
        <f>V285</f>
        <v>4679</v>
      </c>
      <c r="W284" s="104"/>
    </row>
    <row r="285" spans="1:23" ht="25.5">
      <c r="A285" s="107" t="s">
        <v>221</v>
      </c>
      <c r="B285" s="108" t="s">
        <v>216</v>
      </c>
      <c r="C285" s="162">
        <v>10</v>
      </c>
      <c r="D285" s="108" t="s">
        <v>268</v>
      </c>
      <c r="E285" s="162" t="s">
        <v>455</v>
      </c>
      <c r="F285" s="108" t="s">
        <v>229</v>
      </c>
      <c r="G285" s="109">
        <v>4679</v>
      </c>
      <c r="H285" s="113"/>
      <c r="I285" s="113"/>
      <c r="J285" s="113"/>
      <c r="K285" s="114"/>
      <c r="L285" s="113"/>
      <c r="M285" s="114"/>
      <c r="N285" s="115"/>
      <c r="O285" s="116"/>
      <c r="P285" s="116"/>
      <c r="Q285" s="116"/>
      <c r="R285" s="116"/>
      <c r="S285" s="116"/>
      <c r="T285" s="116"/>
      <c r="U285" s="116"/>
      <c r="V285" s="114">
        <f>G285+H285+I285</f>
        <v>4679</v>
      </c>
      <c r="W285" s="104"/>
    </row>
    <row r="286" spans="1:23" ht="12.75">
      <c r="A286" s="105" t="s">
        <v>456</v>
      </c>
      <c r="B286" s="106"/>
      <c r="C286" s="106">
        <v>10</v>
      </c>
      <c r="D286" s="106" t="s">
        <v>224</v>
      </c>
      <c r="E286" s="106"/>
      <c r="F286" s="106"/>
      <c r="G286" s="39">
        <f aca="true" t="shared" si="116" ref="G286:R286">G288+G292+G299+G290</f>
        <v>41501</v>
      </c>
      <c r="H286" s="39">
        <f t="shared" si="116"/>
        <v>8241</v>
      </c>
      <c r="I286" s="39">
        <f t="shared" si="116"/>
        <v>8580</v>
      </c>
      <c r="J286" s="39">
        <f t="shared" si="116"/>
        <v>0</v>
      </c>
      <c r="K286" s="101">
        <f t="shared" si="116"/>
        <v>0</v>
      </c>
      <c r="L286" s="39">
        <f t="shared" si="116"/>
        <v>-4844.674</v>
      </c>
      <c r="M286" s="101">
        <f t="shared" si="116"/>
        <v>0</v>
      </c>
      <c r="N286" s="39">
        <f t="shared" si="116"/>
        <v>5074.406</v>
      </c>
      <c r="O286" s="101">
        <f t="shared" si="116"/>
        <v>0</v>
      </c>
      <c r="P286" s="101">
        <f t="shared" si="116"/>
        <v>0</v>
      </c>
      <c r="Q286" s="101">
        <f t="shared" si="116"/>
        <v>0</v>
      </c>
      <c r="R286" s="101">
        <f t="shared" si="116"/>
        <v>1395.2</v>
      </c>
      <c r="S286" s="101">
        <f>S288+S292+S299+S290+S293+S295</f>
        <v>0</v>
      </c>
      <c r="T286" s="101">
        <f>T288+T292+T299+T290+T293+T295</f>
        <v>0</v>
      </c>
      <c r="U286" s="101"/>
      <c r="V286" s="101">
        <f>V288+V292+V299+V290</f>
        <v>59946.932</v>
      </c>
      <c r="W286" s="104"/>
    </row>
    <row r="287" spans="1:23" ht="12.75">
      <c r="A287" s="107" t="s">
        <v>457</v>
      </c>
      <c r="B287" s="108" t="s">
        <v>216</v>
      </c>
      <c r="C287" s="108">
        <v>10</v>
      </c>
      <c r="D287" s="108" t="s">
        <v>224</v>
      </c>
      <c r="E287" s="108" t="s">
        <v>458</v>
      </c>
      <c r="F287" s="108"/>
      <c r="G287" s="109">
        <f aca="true" t="shared" si="117" ref="G287:M288">G288</f>
        <v>810</v>
      </c>
      <c r="H287" s="109">
        <f t="shared" si="117"/>
        <v>0</v>
      </c>
      <c r="I287" s="109">
        <f t="shared" si="117"/>
        <v>0</v>
      </c>
      <c r="J287" s="109">
        <f t="shared" si="117"/>
        <v>0</v>
      </c>
      <c r="K287" s="110">
        <f t="shared" si="117"/>
        <v>0</v>
      </c>
      <c r="L287" s="109">
        <f t="shared" si="117"/>
        <v>0</v>
      </c>
      <c r="M287" s="110">
        <f t="shared" si="117"/>
        <v>0</v>
      </c>
      <c r="N287" s="111"/>
      <c r="O287" s="112"/>
      <c r="P287" s="112"/>
      <c r="Q287" s="112"/>
      <c r="R287" s="112"/>
      <c r="S287" s="112"/>
      <c r="T287" s="112"/>
      <c r="U287" s="112"/>
      <c r="V287" s="110">
        <f>V288</f>
        <v>810</v>
      </c>
      <c r="W287" s="104"/>
    </row>
    <row r="288" spans="1:23" ht="51">
      <c r="A288" s="107" t="s">
        <v>459</v>
      </c>
      <c r="B288" s="108" t="s">
        <v>216</v>
      </c>
      <c r="C288" s="108">
        <v>10</v>
      </c>
      <c r="D288" s="108" t="s">
        <v>224</v>
      </c>
      <c r="E288" s="108" t="s">
        <v>460</v>
      </c>
      <c r="F288" s="108"/>
      <c r="G288" s="109">
        <f t="shared" si="117"/>
        <v>810</v>
      </c>
      <c r="H288" s="109">
        <f t="shared" si="117"/>
        <v>0</v>
      </c>
      <c r="I288" s="109">
        <f t="shared" si="117"/>
        <v>0</v>
      </c>
      <c r="J288" s="109">
        <f t="shared" si="117"/>
        <v>0</v>
      </c>
      <c r="K288" s="110">
        <f t="shared" si="117"/>
        <v>0</v>
      </c>
      <c r="L288" s="109">
        <f t="shared" si="117"/>
        <v>0</v>
      </c>
      <c r="M288" s="110">
        <f t="shared" si="117"/>
        <v>0</v>
      </c>
      <c r="N288" s="111"/>
      <c r="O288" s="112"/>
      <c r="P288" s="112"/>
      <c r="Q288" s="112"/>
      <c r="R288" s="112"/>
      <c r="S288" s="112"/>
      <c r="T288" s="112"/>
      <c r="U288" s="112"/>
      <c r="V288" s="110">
        <f>V289</f>
        <v>810</v>
      </c>
      <c r="W288" s="104"/>
    </row>
    <row r="289" spans="1:23" ht="12.75">
      <c r="A289" s="107" t="s">
        <v>443</v>
      </c>
      <c r="B289" s="108" t="s">
        <v>216</v>
      </c>
      <c r="C289" s="108">
        <v>10</v>
      </c>
      <c r="D289" s="108" t="s">
        <v>224</v>
      </c>
      <c r="E289" s="108" t="s">
        <v>460</v>
      </c>
      <c r="F289" s="108" t="s">
        <v>444</v>
      </c>
      <c r="G289" s="109">
        <v>810</v>
      </c>
      <c r="H289" s="113"/>
      <c r="I289" s="113"/>
      <c r="J289" s="113"/>
      <c r="K289" s="114"/>
      <c r="L289" s="113"/>
      <c r="M289" s="114"/>
      <c r="N289" s="115"/>
      <c r="O289" s="116"/>
      <c r="P289" s="116"/>
      <c r="Q289" s="116"/>
      <c r="R289" s="116"/>
      <c r="S289" s="116"/>
      <c r="T289" s="116"/>
      <c r="U289" s="116"/>
      <c r="V289" s="114">
        <f>G289+H289+I289</f>
        <v>810</v>
      </c>
      <c r="W289" s="104"/>
    </row>
    <row r="290" spans="1:23" ht="51">
      <c r="A290" s="107" t="s">
        <v>448</v>
      </c>
      <c r="B290" s="108" t="s">
        <v>216</v>
      </c>
      <c r="C290" s="162">
        <v>10</v>
      </c>
      <c r="D290" s="108" t="s">
        <v>224</v>
      </c>
      <c r="E290" s="162">
        <v>5053600</v>
      </c>
      <c r="F290" s="108"/>
      <c r="G290" s="157">
        <f aca="true" t="shared" si="118" ref="G290:O290">G291</f>
        <v>0</v>
      </c>
      <c r="H290" s="157">
        <f t="shared" si="118"/>
        <v>8241</v>
      </c>
      <c r="I290" s="157">
        <f t="shared" si="118"/>
        <v>8580</v>
      </c>
      <c r="J290" s="157">
        <f t="shared" si="118"/>
        <v>0</v>
      </c>
      <c r="K290" s="158">
        <f t="shared" si="118"/>
        <v>0</v>
      </c>
      <c r="L290" s="157">
        <f t="shared" si="118"/>
        <v>-4844.674</v>
      </c>
      <c r="M290" s="158">
        <f t="shared" si="118"/>
        <v>0</v>
      </c>
      <c r="N290" s="157">
        <f t="shared" si="118"/>
        <v>5074.406</v>
      </c>
      <c r="O290" s="158">
        <f t="shared" si="118"/>
        <v>0</v>
      </c>
      <c r="P290" s="158"/>
      <c r="Q290" s="158"/>
      <c r="R290" s="158"/>
      <c r="S290" s="158"/>
      <c r="T290" s="158"/>
      <c r="U290" s="158"/>
      <c r="V290" s="158">
        <f>V291</f>
        <v>17050.732</v>
      </c>
      <c r="W290" s="104"/>
    </row>
    <row r="291" spans="1:23" ht="12.75">
      <c r="A291" s="107" t="s">
        <v>443</v>
      </c>
      <c r="B291" s="108" t="s">
        <v>216</v>
      </c>
      <c r="C291" s="162">
        <v>10</v>
      </c>
      <c r="D291" s="108" t="s">
        <v>224</v>
      </c>
      <c r="E291" s="162">
        <v>5053600</v>
      </c>
      <c r="F291" s="108" t="s">
        <v>444</v>
      </c>
      <c r="G291" s="157"/>
      <c r="H291" s="113">
        <v>8241</v>
      </c>
      <c r="I291" s="113">
        <v>8580</v>
      </c>
      <c r="J291" s="113"/>
      <c r="K291" s="114"/>
      <c r="L291" s="113">
        <v>-4844.674</v>
      </c>
      <c r="M291" s="114"/>
      <c r="N291" s="115">
        <v>5074.406</v>
      </c>
      <c r="O291" s="116"/>
      <c r="P291" s="116"/>
      <c r="Q291" s="116"/>
      <c r="R291" s="116"/>
      <c r="S291" s="116"/>
      <c r="T291" s="116"/>
      <c r="U291" s="116"/>
      <c r="V291" s="114">
        <f>G291+H291+I291+L291+N291</f>
        <v>17050.732</v>
      </c>
      <c r="W291" s="104"/>
    </row>
    <row r="292" spans="1:23" ht="25.5">
      <c r="A292" s="107" t="s">
        <v>461</v>
      </c>
      <c r="B292" s="108" t="s">
        <v>216</v>
      </c>
      <c r="C292" s="108">
        <v>10</v>
      </c>
      <c r="D292" s="108" t="s">
        <v>224</v>
      </c>
      <c r="E292" s="108" t="s">
        <v>462</v>
      </c>
      <c r="F292" s="108"/>
      <c r="G292" s="133">
        <f aca="true" t="shared" si="119" ref="G292:Q292">G293+G297</f>
        <v>37586</v>
      </c>
      <c r="H292" s="133">
        <f t="shared" si="119"/>
        <v>0</v>
      </c>
      <c r="I292" s="133">
        <f t="shared" si="119"/>
        <v>0</v>
      </c>
      <c r="J292" s="133">
        <f t="shared" si="119"/>
        <v>0</v>
      </c>
      <c r="K292" s="133">
        <f t="shared" si="119"/>
        <v>0</v>
      </c>
      <c r="L292" s="133">
        <f t="shared" si="119"/>
        <v>0</v>
      </c>
      <c r="M292" s="133">
        <f t="shared" si="119"/>
        <v>0</v>
      </c>
      <c r="N292" s="133">
        <f t="shared" si="119"/>
        <v>0</v>
      </c>
      <c r="O292" s="133">
        <f t="shared" si="119"/>
        <v>0</v>
      </c>
      <c r="P292" s="133">
        <f t="shared" si="119"/>
        <v>0</v>
      </c>
      <c r="Q292" s="133">
        <f t="shared" si="119"/>
        <v>0</v>
      </c>
      <c r="R292" s="133">
        <f>R293+R297+R300+R302+R304</f>
        <v>1395.2</v>
      </c>
      <c r="S292" s="136"/>
      <c r="T292" s="136"/>
      <c r="U292" s="136"/>
      <c r="V292" s="134">
        <f>V293+V297+V295</f>
        <v>37586.00000000001</v>
      </c>
      <c r="W292" s="104"/>
    </row>
    <row r="293" spans="1:23" ht="89.25">
      <c r="A293" s="107" t="s">
        <v>463</v>
      </c>
      <c r="B293" s="108" t="s">
        <v>216</v>
      </c>
      <c r="C293" s="108">
        <v>10</v>
      </c>
      <c r="D293" s="108" t="s">
        <v>224</v>
      </c>
      <c r="E293" s="108" t="s">
        <v>464</v>
      </c>
      <c r="F293" s="108"/>
      <c r="G293" s="109">
        <f aca="true" t="shared" si="120" ref="G293:M293">G294</f>
        <v>12034</v>
      </c>
      <c r="H293" s="109">
        <f t="shared" si="120"/>
        <v>0</v>
      </c>
      <c r="I293" s="109">
        <f t="shared" si="120"/>
        <v>0</v>
      </c>
      <c r="J293" s="109">
        <f t="shared" si="120"/>
        <v>0</v>
      </c>
      <c r="K293" s="110">
        <f t="shared" si="120"/>
        <v>0</v>
      </c>
      <c r="L293" s="109">
        <f t="shared" si="120"/>
        <v>0</v>
      </c>
      <c r="M293" s="110">
        <f t="shared" si="120"/>
        <v>0</v>
      </c>
      <c r="N293" s="111"/>
      <c r="O293" s="112"/>
      <c r="P293" s="112"/>
      <c r="Q293" s="112"/>
      <c r="R293" s="112"/>
      <c r="S293" s="112">
        <f>S294</f>
        <v>-363.31712999999996</v>
      </c>
      <c r="T293" s="112"/>
      <c r="U293" s="112"/>
      <c r="V293" s="110">
        <f>V294</f>
        <v>11670.68287</v>
      </c>
      <c r="W293" s="104"/>
    </row>
    <row r="294" spans="1:23" ht="12.75">
      <c r="A294" s="107" t="s">
        <v>443</v>
      </c>
      <c r="B294" s="108" t="s">
        <v>216</v>
      </c>
      <c r="C294" s="108">
        <v>10</v>
      </c>
      <c r="D294" s="108" t="s">
        <v>224</v>
      </c>
      <c r="E294" s="108" t="s">
        <v>464</v>
      </c>
      <c r="F294" s="108" t="s">
        <v>444</v>
      </c>
      <c r="G294" s="109">
        <v>12034</v>
      </c>
      <c r="H294" s="113"/>
      <c r="I294" s="113"/>
      <c r="J294" s="113"/>
      <c r="K294" s="114"/>
      <c r="L294" s="113"/>
      <c r="M294" s="114"/>
      <c r="N294" s="115"/>
      <c r="O294" s="116"/>
      <c r="P294" s="116"/>
      <c r="Q294" s="116"/>
      <c r="R294" s="116"/>
      <c r="S294" s="116">
        <f>-361.19413-2.123</f>
        <v>-363.31712999999996</v>
      </c>
      <c r="T294" s="116"/>
      <c r="U294" s="116"/>
      <c r="V294" s="114">
        <f>G294+H294+I294+S294</f>
        <v>11670.68287</v>
      </c>
      <c r="W294" s="104"/>
    </row>
    <row r="295" spans="1:23" ht="89.25">
      <c r="A295" s="107" t="s">
        <v>463</v>
      </c>
      <c r="B295" s="108" t="s">
        <v>216</v>
      </c>
      <c r="C295" s="108">
        <v>10</v>
      </c>
      <c r="D295" s="108" t="s">
        <v>224</v>
      </c>
      <c r="E295" s="108" t="s">
        <v>464</v>
      </c>
      <c r="F295" s="108"/>
      <c r="G295" s="109"/>
      <c r="H295" s="113"/>
      <c r="I295" s="113"/>
      <c r="J295" s="113"/>
      <c r="K295" s="114"/>
      <c r="L295" s="113"/>
      <c r="M295" s="114"/>
      <c r="N295" s="115"/>
      <c r="O295" s="116"/>
      <c r="P295" s="116"/>
      <c r="Q295" s="116"/>
      <c r="R295" s="116"/>
      <c r="S295" s="116">
        <f>S296</f>
        <v>363.31712999999996</v>
      </c>
      <c r="T295" s="116"/>
      <c r="U295" s="116"/>
      <c r="V295" s="116">
        <f>V296</f>
        <v>363.31712999999996</v>
      </c>
      <c r="W295" s="104"/>
    </row>
    <row r="296" spans="1:23" ht="89.25">
      <c r="A296" s="148" t="s">
        <v>366</v>
      </c>
      <c r="B296" s="108" t="s">
        <v>216</v>
      </c>
      <c r="C296" s="108">
        <v>10</v>
      </c>
      <c r="D296" s="108" t="s">
        <v>224</v>
      </c>
      <c r="E296" s="108" t="s">
        <v>464</v>
      </c>
      <c r="F296" s="108" t="s">
        <v>367</v>
      </c>
      <c r="G296" s="109"/>
      <c r="H296" s="113"/>
      <c r="I296" s="113"/>
      <c r="J296" s="113"/>
      <c r="K296" s="114"/>
      <c r="L296" s="113"/>
      <c r="M296" s="114"/>
      <c r="N296" s="115"/>
      <c r="O296" s="116"/>
      <c r="P296" s="116"/>
      <c r="Q296" s="116"/>
      <c r="R296" s="116"/>
      <c r="S296" s="116">
        <f>361.19413+2.123</f>
        <v>363.31712999999996</v>
      </c>
      <c r="T296" s="116"/>
      <c r="U296" s="116"/>
      <c r="V296" s="114">
        <f>S296</f>
        <v>363.31712999999996</v>
      </c>
      <c r="W296" s="104"/>
    </row>
    <row r="297" spans="1:23" ht="25.5">
      <c r="A297" s="107" t="s">
        <v>465</v>
      </c>
      <c r="B297" s="108" t="s">
        <v>216</v>
      </c>
      <c r="C297" s="108">
        <v>10</v>
      </c>
      <c r="D297" s="108" t="s">
        <v>224</v>
      </c>
      <c r="E297" s="108" t="s">
        <v>466</v>
      </c>
      <c r="F297" s="108"/>
      <c r="G297" s="109">
        <f aca="true" t="shared" si="121" ref="G297:M297">G298</f>
        <v>25552</v>
      </c>
      <c r="H297" s="109">
        <f t="shared" si="121"/>
        <v>0</v>
      </c>
      <c r="I297" s="109">
        <f t="shared" si="121"/>
        <v>0</v>
      </c>
      <c r="J297" s="109">
        <f t="shared" si="121"/>
        <v>0</v>
      </c>
      <c r="K297" s="110">
        <f t="shared" si="121"/>
        <v>0</v>
      </c>
      <c r="L297" s="109">
        <f t="shared" si="121"/>
        <v>0</v>
      </c>
      <c r="M297" s="110">
        <f t="shared" si="121"/>
        <v>0</v>
      </c>
      <c r="N297" s="111"/>
      <c r="O297" s="112"/>
      <c r="P297" s="112"/>
      <c r="Q297" s="112"/>
      <c r="R297" s="112"/>
      <c r="S297" s="112"/>
      <c r="T297" s="112"/>
      <c r="U297" s="112"/>
      <c r="V297" s="110">
        <f>V298</f>
        <v>25552</v>
      </c>
      <c r="W297" s="104"/>
    </row>
    <row r="298" spans="1:23" ht="12.75">
      <c r="A298" s="107" t="s">
        <v>443</v>
      </c>
      <c r="B298" s="108" t="s">
        <v>216</v>
      </c>
      <c r="C298" s="108">
        <v>10</v>
      </c>
      <c r="D298" s="108" t="s">
        <v>224</v>
      </c>
      <c r="E298" s="108" t="s">
        <v>466</v>
      </c>
      <c r="F298" s="108" t="s">
        <v>444</v>
      </c>
      <c r="G298" s="109">
        <v>25552</v>
      </c>
      <c r="H298" s="113"/>
      <c r="I298" s="113"/>
      <c r="J298" s="113"/>
      <c r="K298" s="114"/>
      <c r="L298" s="113"/>
      <c r="M298" s="114"/>
      <c r="N298" s="115"/>
      <c r="O298" s="116"/>
      <c r="P298" s="116"/>
      <c r="Q298" s="116"/>
      <c r="R298" s="116"/>
      <c r="S298" s="116"/>
      <c r="T298" s="116"/>
      <c r="U298" s="116"/>
      <c r="V298" s="114">
        <f>G298+H298+I298</f>
        <v>25552</v>
      </c>
      <c r="W298" s="104"/>
    </row>
    <row r="299" spans="1:23" ht="25.5">
      <c r="A299" s="164" t="s">
        <v>461</v>
      </c>
      <c r="B299" s="108" t="s">
        <v>216</v>
      </c>
      <c r="C299" s="162">
        <v>10</v>
      </c>
      <c r="D299" s="108" t="s">
        <v>224</v>
      </c>
      <c r="E299" s="162" t="s">
        <v>467</v>
      </c>
      <c r="F299" s="108"/>
      <c r="G299" s="109">
        <f aca="true" t="shared" si="122" ref="G299:M299">G300+G302+G304</f>
        <v>3105</v>
      </c>
      <c r="H299" s="109">
        <f t="shared" si="122"/>
        <v>0</v>
      </c>
      <c r="I299" s="109">
        <f t="shared" si="122"/>
        <v>0</v>
      </c>
      <c r="J299" s="109">
        <f t="shared" si="122"/>
        <v>0</v>
      </c>
      <c r="K299" s="110">
        <f t="shared" si="122"/>
        <v>0</v>
      </c>
      <c r="L299" s="109">
        <f t="shared" si="122"/>
        <v>0</v>
      </c>
      <c r="M299" s="110">
        <f t="shared" si="122"/>
        <v>0</v>
      </c>
      <c r="N299" s="111"/>
      <c r="O299" s="112"/>
      <c r="P299" s="112"/>
      <c r="Q299" s="112"/>
      <c r="R299" s="112"/>
      <c r="S299" s="112"/>
      <c r="T299" s="112"/>
      <c r="U299" s="112"/>
      <c r="V299" s="110">
        <f>V300+V302+V304</f>
        <v>4500.2</v>
      </c>
      <c r="W299" s="104"/>
    </row>
    <row r="300" spans="1:23" ht="63.75">
      <c r="A300" s="107" t="s">
        <v>468</v>
      </c>
      <c r="B300" s="108" t="s">
        <v>216</v>
      </c>
      <c r="C300" s="162">
        <v>10</v>
      </c>
      <c r="D300" s="108" t="s">
        <v>224</v>
      </c>
      <c r="E300" s="162" t="s">
        <v>469</v>
      </c>
      <c r="F300" s="108"/>
      <c r="G300" s="109">
        <f aca="true" t="shared" si="123" ref="G300:M300">G301</f>
        <v>651</v>
      </c>
      <c r="H300" s="109">
        <f t="shared" si="123"/>
        <v>0</v>
      </c>
      <c r="I300" s="109">
        <f t="shared" si="123"/>
        <v>0</v>
      </c>
      <c r="J300" s="109">
        <f t="shared" si="123"/>
        <v>0</v>
      </c>
      <c r="K300" s="110">
        <f t="shared" si="123"/>
        <v>0</v>
      </c>
      <c r="L300" s="109">
        <f t="shared" si="123"/>
        <v>0</v>
      </c>
      <c r="M300" s="110">
        <f t="shared" si="123"/>
        <v>0</v>
      </c>
      <c r="N300" s="111"/>
      <c r="O300" s="112"/>
      <c r="P300" s="112"/>
      <c r="Q300" s="112"/>
      <c r="R300" s="112"/>
      <c r="S300" s="112"/>
      <c r="T300" s="112"/>
      <c r="U300" s="112"/>
      <c r="V300" s="110">
        <f>V301</f>
        <v>651</v>
      </c>
      <c r="W300" s="104"/>
    </row>
    <row r="301" spans="1:23" ht="25.5">
      <c r="A301" s="107" t="s">
        <v>221</v>
      </c>
      <c r="B301" s="108" t="s">
        <v>216</v>
      </c>
      <c r="C301" s="162">
        <v>10</v>
      </c>
      <c r="D301" s="108" t="s">
        <v>224</v>
      </c>
      <c r="E301" s="162" t="s">
        <v>469</v>
      </c>
      <c r="F301" s="108" t="s">
        <v>229</v>
      </c>
      <c r="G301" s="109">
        <v>651</v>
      </c>
      <c r="H301" s="113"/>
      <c r="I301" s="113"/>
      <c r="J301" s="113"/>
      <c r="K301" s="114"/>
      <c r="L301" s="113"/>
      <c r="M301" s="114"/>
      <c r="N301" s="115"/>
      <c r="O301" s="116"/>
      <c r="P301" s="116"/>
      <c r="Q301" s="116"/>
      <c r="R301" s="116"/>
      <c r="S301" s="116"/>
      <c r="T301" s="116"/>
      <c r="U301" s="116"/>
      <c r="V301" s="114">
        <f>G301+H301+I301</f>
        <v>651</v>
      </c>
      <c r="W301" s="104"/>
    </row>
    <row r="302" spans="1:23" ht="51">
      <c r="A302" s="107" t="s">
        <v>470</v>
      </c>
      <c r="B302" s="108" t="s">
        <v>216</v>
      </c>
      <c r="C302" s="162">
        <v>10</v>
      </c>
      <c r="D302" s="108" t="s">
        <v>224</v>
      </c>
      <c r="E302" s="162" t="s">
        <v>471</v>
      </c>
      <c r="F302" s="108"/>
      <c r="G302" s="109">
        <f aca="true" t="shared" si="124" ref="G302:M302">G303</f>
        <v>1248</v>
      </c>
      <c r="H302" s="109">
        <f t="shared" si="124"/>
        <v>0</v>
      </c>
      <c r="I302" s="109">
        <f t="shared" si="124"/>
        <v>0</v>
      </c>
      <c r="J302" s="109">
        <f t="shared" si="124"/>
        <v>0</v>
      </c>
      <c r="K302" s="110">
        <f t="shared" si="124"/>
        <v>0</v>
      </c>
      <c r="L302" s="109">
        <f t="shared" si="124"/>
        <v>0</v>
      </c>
      <c r="M302" s="110">
        <f t="shared" si="124"/>
        <v>0</v>
      </c>
      <c r="N302" s="111"/>
      <c r="O302" s="112"/>
      <c r="P302" s="112"/>
      <c r="Q302" s="112"/>
      <c r="R302" s="112">
        <f>R303</f>
        <v>1395.2</v>
      </c>
      <c r="S302" s="112"/>
      <c r="T302" s="112"/>
      <c r="U302" s="112"/>
      <c r="V302" s="110">
        <f>V303</f>
        <v>2643.2</v>
      </c>
      <c r="W302" s="104"/>
    </row>
    <row r="303" spans="1:23" ht="25.5">
      <c r="A303" s="107" t="s">
        <v>221</v>
      </c>
      <c r="B303" s="108" t="s">
        <v>216</v>
      </c>
      <c r="C303" s="162">
        <v>10</v>
      </c>
      <c r="D303" s="108" t="s">
        <v>224</v>
      </c>
      <c r="E303" s="162" t="s">
        <v>471</v>
      </c>
      <c r="F303" s="108" t="s">
        <v>229</v>
      </c>
      <c r="G303" s="109">
        <v>1248</v>
      </c>
      <c r="H303" s="113"/>
      <c r="I303" s="113"/>
      <c r="J303" s="113"/>
      <c r="K303" s="114"/>
      <c r="L303" s="113"/>
      <c r="M303" s="114"/>
      <c r="N303" s="115"/>
      <c r="O303" s="116"/>
      <c r="P303" s="116"/>
      <c r="Q303" s="116"/>
      <c r="R303" s="116">
        <v>1395.2</v>
      </c>
      <c r="S303" s="116"/>
      <c r="T303" s="116"/>
      <c r="U303" s="116"/>
      <c r="V303" s="114">
        <f>G303+H303+I303+R303</f>
        <v>2643.2</v>
      </c>
      <c r="W303" s="104"/>
    </row>
    <row r="304" spans="1:23" ht="25.5">
      <c r="A304" s="107" t="s">
        <v>472</v>
      </c>
      <c r="B304" s="108" t="s">
        <v>216</v>
      </c>
      <c r="C304" s="162">
        <v>10</v>
      </c>
      <c r="D304" s="108" t="s">
        <v>224</v>
      </c>
      <c r="E304" s="162">
        <v>5210236</v>
      </c>
      <c r="F304" s="108"/>
      <c r="G304" s="109">
        <f aca="true" t="shared" si="125" ref="G304:R304">G305</f>
        <v>1206</v>
      </c>
      <c r="H304" s="109">
        <f t="shared" si="125"/>
        <v>0</v>
      </c>
      <c r="I304" s="109">
        <f t="shared" si="125"/>
        <v>0</v>
      </c>
      <c r="J304" s="109">
        <f t="shared" si="125"/>
        <v>0</v>
      </c>
      <c r="K304" s="109">
        <f t="shared" si="125"/>
        <v>0</v>
      </c>
      <c r="L304" s="109">
        <f t="shared" si="125"/>
        <v>0</v>
      </c>
      <c r="M304" s="109">
        <f t="shared" si="125"/>
        <v>0</v>
      </c>
      <c r="N304" s="109">
        <f t="shared" si="125"/>
        <v>0</v>
      </c>
      <c r="O304" s="109">
        <f t="shared" si="125"/>
        <v>0</v>
      </c>
      <c r="P304" s="109">
        <f t="shared" si="125"/>
        <v>0</v>
      </c>
      <c r="Q304" s="109">
        <f t="shared" si="125"/>
        <v>0</v>
      </c>
      <c r="R304" s="109">
        <f t="shared" si="125"/>
        <v>0</v>
      </c>
      <c r="S304" s="112"/>
      <c r="T304" s="112"/>
      <c r="U304" s="112"/>
      <c r="V304" s="110">
        <f>V305</f>
        <v>1206</v>
      </c>
      <c r="W304" s="104"/>
    </row>
    <row r="305" spans="1:23" ht="25.5">
      <c r="A305" s="107" t="s">
        <v>221</v>
      </c>
      <c r="B305" s="108" t="s">
        <v>216</v>
      </c>
      <c r="C305" s="162">
        <v>10</v>
      </c>
      <c r="D305" s="108" t="s">
        <v>224</v>
      </c>
      <c r="E305" s="162">
        <v>5210236</v>
      </c>
      <c r="F305" s="108" t="s">
        <v>229</v>
      </c>
      <c r="G305" s="109">
        <v>1206</v>
      </c>
      <c r="H305" s="113"/>
      <c r="I305" s="113"/>
      <c r="J305" s="113"/>
      <c r="K305" s="114"/>
      <c r="L305" s="113"/>
      <c r="M305" s="114"/>
      <c r="N305" s="115"/>
      <c r="O305" s="116"/>
      <c r="P305" s="116"/>
      <c r="Q305" s="116"/>
      <c r="R305" s="116"/>
      <c r="S305" s="116"/>
      <c r="T305" s="116"/>
      <c r="U305" s="116"/>
      <c r="V305" s="114">
        <f>G305+H305+I305+R305</f>
        <v>1206</v>
      </c>
      <c r="W305" s="104"/>
    </row>
    <row r="306" spans="1:23" ht="25.5">
      <c r="A306" s="105" t="s">
        <v>473</v>
      </c>
      <c r="B306" s="106"/>
      <c r="C306" s="106">
        <v>10</v>
      </c>
      <c r="D306" s="106" t="s">
        <v>231</v>
      </c>
      <c r="E306" s="106"/>
      <c r="F306" s="106"/>
      <c r="G306" s="39">
        <f aca="true" t="shared" si="126" ref="G306:V306">G307+G309</f>
        <v>1329.9</v>
      </c>
      <c r="H306" s="39">
        <f t="shared" si="126"/>
        <v>0</v>
      </c>
      <c r="I306" s="39">
        <f t="shared" si="126"/>
        <v>0</v>
      </c>
      <c r="J306" s="39">
        <f t="shared" si="126"/>
        <v>0</v>
      </c>
      <c r="K306" s="101">
        <f t="shared" si="126"/>
        <v>0</v>
      </c>
      <c r="L306" s="39">
        <f t="shared" si="126"/>
        <v>0</v>
      </c>
      <c r="M306" s="101">
        <f t="shared" si="126"/>
        <v>0</v>
      </c>
      <c r="N306" s="39">
        <f t="shared" si="126"/>
        <v>0</v>
      </c>
      <c r="O306" s="39">
        <f t="shared" si="126"/>
        <v>0</v>
      </c>
      <c r="P306" s="101">
        <f t="shared" si="126"/>
        <v>0</v>
      </c>
      <c r="Q306" s="101">
        <f t="shared" si="126"/>
        <v>0</v>
      </c>
      <c r="R306" s="39">
        <f t="shared" si="126"/>
        <v>0</v>
      </c>
      <c r="S306" s="39">
        <f t="shared" si="126"/>
        <v>0</v>
      </c>
      <c r="T306" s="39">
        <f t="shared" si="126"/>
        <v>0</v>
      </c>
      <c r="U306" s="39"/>
      <c r="V306" s="101">
        <f t="shared" si="126"/>
        <v>1329.9</v>
      </c>
      <c r="W306" s="104"/>
    </row>
    <row r="307" spans="1:23" ht="38.25">
      <c r="A307" s="107" t="s">
        <v>474</v>
      </c>
      <c r="B307" s="108" t="s">
        <v>216</v>
      </c>
      <c r="C307" s="108">
        <v>10</v>
      </c>
      <c r="D307" s="108" t="s">
        <v>231</v>
      </c>
      <c r="E307" s="108" t="s">
        <v>475</v>
      </c>
      <c r="F307" s="108"/>
      <c r="G307" s="109">
        <f aca="true" t="shared" si="127" ref="G307:M307">G308</f>
        <v>749.9</v>
      </c>
      <c r="H307" s="109">
        <f t="shared" si="127"/>
        <v>0</v>
      </c>
      <c r="I307" s="109">
        <f t="shared" si="127"/>
        <v>0</v>
      </c>
      <c r="J307" s="109">
        <f t="shared" si="127"/>
        <v>0</v>
      </c>
      <c r="K307" s="110">
        <f t="shared" si="127"/>
        <v>0</v>
      </c>
      <c r="L307" s="109">
        <f t="shared" si="127"/>
        <v>0</v>
      </c>
      <c r="M307" s="110">
        <f t="shared" si="127"/>
        <v>0</v>
      </c>
      <c r="N307" s="111"/>
      <c r="O307" s="112"/>
      <c r="P307" s="112"/>
      <c r="Q307" s="112"/>
      <c r="R307" s="112"/>
      <c r="S307" s="112"/>
      <c r="T307" s="112"/>
      <c r="U307" s="112"/>
      <c r="V307" s="110">
        <f>V308</f>
        <v>749.9</v>
      </c>
      <c r="W307" s="104"/>
    </row>
    <row r="308" spans="1:23" ht="25.5">
      <c r="A308" s="107" t="s">
        <v>221</v>
      </c>
      <c r="B308" s="108" t="s">
        <v>216</v>
      </c>
      <c r="C308" s="108">
        <v>10</v>
      </c>
      <c r="D308" s="108" t="s">
        <v>231</v>
      </c>
      <c r="E308" s="108" t="s">
        <v>475</v>
      </c>
      <c r="F308" s="108">
        <v>500</v>
      </c>
      <c r="G308" s="109">
        <v>749.9</v>
      </c>
      <c r="H308" s="113"/>
      <c r="I308" s="113"/>
      <c r="J308" s="113"/>
      <c r="K308" s="114"/>
      <c r="L308" s="113"/>
      <c r="M308" s="114"/>
      <c r="N308" s="115"/>
      <c r="O308" s="116"/>
      <c r="P308" s="116"/>
      <c r="Q308" s="116"/>
      <c r="R308" s="116"/>
      <c r="S308" s="116"/>
      <c r="T308" s="116"/>
      <c r="U308" s="116"/>
      <c r="V308" s="114">
        <f>G308+H308+I308</f>
        <v>749.9</v>
      </c>
      <c r="W308" s="104"/>
    </row>
    <row r="309" spans="1:23" ht="51">
      <c r="A309" s="107" t="s">
        <v>476</v>
      </c>
      <c r="B309" s="108" t="s">
        <v>216</v>
      </c>
      <c r="C309" s="108">
        <v>10</v>
      </c>
      <c r="D309" s="108" t="s">
        <v>231</v>
      </c>
      <c r="E309" s="108" t="s">
        <v>477</v>
      </c>
      <c r="F309" s="108"/>
      <c r="G309" s="109">
        <f aca="true" t="shared" si="128" ref="G309:M309">G310</f>
        <v>580</v>
      </c>
      <c r="H309" s="109">
        <f t="shared" si="128"/>
        <v>0</v>
      </c>
      <c r="I309" s="109">
        <f t="shared" si="128"/>
        <v>0</v>
      </c>
      <c r="J309" s="109">
        <f t="shared" si="128"/>
        <v>0</v>
      </c>
      <c r="K309" s="110">
        <f t="shared" si="128"/>
        <v>0</v>
      </c>
      <c r="L309" s="109">
        <f t="shared" si="128"/>
        <v>0</v>
      </c>
      <c r="M309" s="110">
        <f t="shared" si="128"/>
        <v>0</v>
      </c>
      <c r="N309" s="111"/>
      <c r="O309" s="112"/>
      <c r="P309" s="112"/>
      <c r="Q309" s="112"/>
      <c r="R309" s="112"/>
      <c r="S309" s="112"/>
      <c r="T309" s="112"/>
      <c r="U309" s="112"/>
      <c r="V309" s="110">
        <f>V310</f>
        <v>580</v>
      </c>
      <c r="W309" s="104"/>
    </row>
    <row r="310" spans="1:23" ht="25.5">
      <c r="A310" s="107" t="s">
        <v>221</v>
      </c>
      <c r="B310" s="108" t="s">
        <v>216</v>
      </c>
      <c r="C310" s="108">
        <v>10</v>
      </c>
      <c r="D310" s="108" t="s">
        <v>231</v>
      </c>
      <c r="E310" s="108" t="s">
        <v>477</v>
      </c>
      <c r="F310" s="108">
        <v>500</v>
      </c>
      <c r="G310" s="109">
        <v>580</v>
      </c>
      <c r="H310" s="113"/>
      <c r="I310" s="113"/>
      <c r="J310" s="113"/>
      <c r="K310" s="114"/>
      <c r="L310" s="113"/>
      <c r="M310" s="114"/>
      <c r="N310" s="115"/>
      <c r="O310" s="116"/>
      <c r="P310" s="116"/>
      <c r="Q310" s="116"/>
      <c r="R310" s="116"/>
      <c r="S310" s="116"/>
      <c r="T310" s="116"/>
      <c r="U310" s="116"/>
      <c r="V310" s="114">
        <f>G310+H310+I310</f>
        <v>580</v>
      </c>
      <c r="W310" s="104"/>
    </row>
    <row r="311" spans="1:23" ht="12.75">
      <c r="A311" s="105" t="s">
        <v>478</v>
      </c>
      <c r="B311" s="106"/>
      <c r="C311" s="106" t="s">
        <v>235</v>
      </c>
      <c r="D311" s="106" t="s">
        <v>479</v>
      </c>
      <c r="E311" s="106"/>
      <c r="F311" s="106"/>
      <c r="G311" s="39">
        <f aca="true" t="shared" si="129" ref="G311:V311">G312</f>
        <v>2000</v>
      </c>
      <c r="H311" s="39">
        <f t="shared" si="129"/>
        <v>0</v>
      </c>
      <c r="I311" s="39">
        <f t="shared" si="129"/>
        <v>-735</v>
      </c>
      <c r="J311" s="39">
        <f t="shared" si="129"/>
        <v>0</v>
      </c>
      <c r="K311" s="101">
        <f t="shared" si="129"/>
        <v>0</v>
      </c>
      <c r="L311" s="39">
        <f t="shared" si="129"/>
        <v>0</v>
      </c>
      <c r="M311" s="101">
        <f t="shared" si="129"/>
        <v>0</v>
      </c>
      <c r="N311" s="102">
        <f t="shared" si="129"/>
        <v>0</v>
      </c>
      <c r="O311" s="103">
        <f t="shared" si="129"/>
        <v>80</v>
      </c>
      <c r="P311" s="103">
        <f t="shared" si="129"/>
        <v>40</v>
      </c>
      <c r="Q311" s="103">
        <f t="shared" si="129"/>
        <v>0</v>
      </c>
      <c r="R311" s="103">
        <f t="shared" si="129"/>
        <v>0</v>
      </c>
      <c r="S311" s="103">
        <f t="shared" si="129"/>
        <v>0</v>
      </c>
      <c r="T311" s="103">
        <f t="shared" si="129"/>
        <v>0</v>
      </c>
      <c r="U311" s="103"/>
      <c r="V311" s="101">
        <f t="shared" si="129"/>
        <v>1385</v>
      </c>
      <c r="W311" s="104"/>
    </row>
    <row r="312" spans="1:23" ht="38.25">
      <c r="A312" s="154" t="s">
        <v>480</v>
      </c>
      <c r="B312" s="108" t="s">
        <v>216</v>
      </c>
      <c r="C312" s="108" t="s">
        <v>235</v>
      </c>
      <c r="D312" s="108" t="s">
        <v>211</v>
      </c>
      <c r="E312" s="108" t="s">
        <v>481</v>
      </c>
      <c r="F312" s="108"/>
      <c r="G312" s="109">
        <f aca="true" t="shared" si="130" ref="G312:P312">G313</f>
        <v>2000</v>
      </c>
      <c r="H312" s="109">
        <f t="shared" si="130"/>
        <v>0</v>
      </c>
      <c r="I312" s="109">
        <f t="shared" si="130"/>
        <v>-735</v>
      </c>
      <c r="J312" s="109">
        <f t="shared" si="130"/>
        <v>0</v>
      </c>
      <c r="K312" s="110">
        <f t="shared" si="130"/>
        <v>0</v>
      </c>
      <c r="L312" s="109">
        <f t="shared" si="130"/>
        <v>0</v>
      </c>
      <c r="M312" s="110">
        <f t="shared" si="130"/>
        <v>0</v>
      </c>
      <c r="N312" s="111">
        <f t="shared" si="130"/>
        <v>0</v>
      </c>
      <c r="O312" s="112">
        <f t="shared" si="130"/>
        <v>80</v>
      </c>
      <c r="P312" s="112">
        <f t="shared" si="130"/>
        <v>40</v>
      </c>
      <c r="Q312" s="112"/>
      <c r="R312" s="112"/>
      <c r="S312" s="112"/>
      <c r="T312" s="112"/>
      <c r="U312" s="112"/>
      <c r="V312" s="110">
        <f>V313</f>
        <v>1385</v>
      </c>
      <c r="W312" s="104"/>
    </row>
    <row r="313" spans="1:23" ht="25.5">
      <c r="A313" s="107" t="s">
        <v>221</v>
      </c>
      <c r="B313" s="108" t="s">
        <v>216</v>
      </c>
      <c r="C313" s="108" t="s">
        <v>235</v>
      </c>
      <c r="D313" s="108" t="s">
        <v>211</v>
      </c>
      <c r="E313" s="108" t="s">
        <v>481</v>
      </c>
      <c r="F313" s="108" t="s">
        <v>229</v>
      </c>
      <c r="G313" s="109">
        <v>2000</v>
      </c>
      <c r="H313" s="113"/>
      <c r="I313" s="113">
        <v>-735</v>
      </c>
      <c r="J313" s="113"/>
      <c r="K313" s="114"/>
      <c r="L313" s="113"/>
      <c r="M313" s="114"/>
      <c r="N313" s="115"/>
      <c r="O313" s="116">
        <v>80</v>
      </c>
      <c r="P313" s="116">
        <v>40</v>
      </c>
      <c r="Q313" s="116"/>
      <c r="R313" s="116"/>
      <c r="S313" s="116"/>
      <c r="T313" s="116"/>
      <c r="U313" s="116"/>
      <c r="V313" s="114">
        <f>G313+H313+I313+O313+P313</f>
        <v>1385</v>
      </c>
      <c r="W313" s="104"/>
    </row>
    <row r="314" spans="1:23" ht="12.75">
      <c r="A314" s="105" t="s">
        <v>482</v>
      </c>
      <c r="B314" s="106"/>
      <c r="C314" s="106" t="s">
        <v>483</v>
      </c>
      <c r="D314" s="106"/>
      <c r="E314" s="106"/>
      <c r="F314" s="106"/>
      <c r="G314" s="39">
        <f aca="true" t="shared" si="131" ref="G314:R314">G315+G322+G318</f>
        <v>72385</v>
      </c>
      <c r="H314" s="39">
        <f t="shared" si="131"/>
        <v>100</v>
      </c>
      <c r="I314" s="39">
        <f t="shared" si="131"/>
        <v>1000</v>
      </c>
      <c r="J314" s="39">
        <f t="shared" si="131"/>
        <v>17601.1</v>
      </c>
      <c r="K314" s="101">
        <f t="shared" si="131"/>
        <v>0</v>
      </c>
      <c r="L314" s="39">
        <f t="shared" si="131"/>
        <v>0</v>
      </c>
      <c r="M314" s="101">
        <f t="shared" si="131"/>
        <v>0</v>
      </c>
      <c r="N314" s="102">
        <f t="shared" si="131"/>
        <v>30</v>
      </c>
      <c r="O314" s="103">
        <f t="shared" si="131"/>
        <v>0</v>
      </c>
      <c r="P314" s="103">
        <f t="shared" si="131"/>
        <v>0</v>
      </c>
      <c r="Q314" s="103">
        <f t="shared" si="131"/>
        <v>0</v>
      </c>
      <c r="R314" s="103">
        <f t="shared" si="131"/>
        <v>0</v>
      </c>
      <c r="S314" s="103">
        <f>S315+S321+S318</f>
        <v>200</v>
      </c>
      <c r="T314" s="103">
        <f>T315+T321+T318</f>
        <v>811.4148</v>
      </c>
      <c r="U314" s="103"/>
      <c r="V314" s="101">
        <f>V315+V322+V318</f>
        <v>91927.5148</v>
      </c>
      <c r="W314" s="104"/>
    </row>
    <row r="315" spans="1:23" ht="38.25">
      <c r="A315" s="105" t="s">
        <v>484</v>
      </c>
      <c r="B315" s="106"/>
      <c r="C315" s="106" t="s">
        <v>483</v>
      </c>
      <c r="D315" s="106" t="s">
        <v>211</v>
      </c>
      <c r="E315" s="106"/>
      <c r="F315" s="106"/>
      <c r="G315" s="39">
        <f aca="true" t="shared" si="132" ref="G315:V315">G316</f>
        <v>72385</v>
      </c>
      <c r="H315" s="39">
        <f t="shared" si="132"/>
        <v>0</v>
      </c>
      <c r="I315" s="39">
        <f t="shared" si="132"/>
        <v>0</v>
      </c>
      <c r="J315" s="39">
        <f t="shared" si="132"/>
        <v>0</v>
      </c>
      <c r="K315" s="101">
        <f t="shared" si="132"/>
        <v>0</v>
      </c>
      <c r="L315" s="39">
        <f t="shared" si="132"/>
        <v>0</v>
      </c>
      <c r="M315" s="101">
        <f t="shared" si="132"/>
        <v>0</v>
      </c>
      <c r="N315" s="39">
        <f t="shared" si="132"/>
        <v>0</v>
      </c>
      <c r="O315" s="39">
        <f t="shared" si="132"/>
        <v>0</v>
      </c>
      <c r="P315" s="101">
        <f t="shared" si="132"/>
        <v>0</v>
      </c>
      <c r="Q315" s="101">
        <f t="shared" si="132"/>
        <v>0</v>
      </c>
      <c r="R315" s="39">
        <f t="shared" si="132"/>
        <v>0</v>
      </c>
      <c r="S315" s="39">
        <f t="shared" si="132"/>
        <v>0</v>
      </c>
      <c r="T315" s="39">
        <f t="shared" si="132"/>
        <v>0</v>
      </c>
      <c r="U315" s="39"/>
      <c r="V315" s="101">
        <f t="shared" si="132"/>
        <v>72385</v>
      </c>
      <c r="W315" s="104"/>
    </row>
    <row r="316" spans="1:23" ht="51">
      <c r="A316" s="107" t="s">
        <v>485</v>
      </c>
      <c r="B316" s="108" t="s">
        <v>216</v>
      </c>
      <c r="C316" s="108" t="s">
        <v>483</v>
      </c>
      <c r="D316" s="108" t="s">
        <v>211</v>
      </c>
      <c r="E316" s="108" t="s">
        <v>486</v>
      </c>
      <c r="F316" s="108"/>
      <c r="G316" s="109">
        <f aca="true" t="shared" si="133" ref="G316:M316">G317</f>
        <v>72385</v>
      </c>
      <c r="H316" s="109">
        <f t="shared" si="133"/>
        <v>0</v>
      </c>
      <c r="I316" s="109">
        <f t="shared" si="133"/>
        <v>0</v>
      </c>
      <c r="J316" s="109">
        <f t="shared" si="133"/>
        <v>0</v>
      </c>
      <c r="K316" s="110">
        <f t="shared" si="133"/>
        <v>0</v>
      </c>
      <c r="L316" s="109">
        <f t="shared" si="133"/>
        <v>0</v>
      </c>
      <c r="M316" s="110">
        <f t="shared" si="133"/>
        <v>0</v>
      </c>
      <c r="N316" s="111"/>
      <c r="O316" s="112"/>
      <c r="P316" s="112"/>
      <c r="Q316" s="112"/>
      <c r="R316" s="112"/>
      <c r="S316" s="112"/>
      <c r="T316" s="112"/>
      <c r="U316" s="112"/>
      <c r="V316" s="110">
        <f>V317</f>
        <v>72385</v>
      </c>
      <c r="W316" s="104"/>
    </row>
    <row r="317" spans="1:23" ht="12.75">
      <c r="A317" s="107" t="s">
        <v>487</v>
      </c>
      <c r="B317" s="108" t="s">
        <v>216</v>
      </c>
      <c r="C317" s="108" t="s">
        <v>483</v>
      </c>
      <c r="D317" s="108" t="s">
        <v>211</v>
      </c>
      <c r="E317" s="108" t="s">
        <v>486</v>
      </c>
      <c r="F317" s="108" t="s">
        <v>488</v>
      </c>
      <c r="G317" s="109">
        <v>72385</v>
      </c>
      <c r="H317" s="113"/>
      <c r="I317" s="113"/>
      <c r="J317" s="113"/>
      <c r="K317" s="114"/>
      <c r="L317" s="113"/>
      <c r="M317" s="114"/>
      <c r="N317" s="115"/>
      <c r="O317" s="116"/>
      <c r="P317" s="116"/>
      <c r="Q317" s="116"/>
      <c r="R317" s="116"/>
      <c r="S317" s="116"/>
      <c r="T317" s="116"/>
      <c r="U317" s="116"/>
      <c r="V317" s="114">
        <f>H317+G317+I317</f>
        <v>72385</v>
      </c>
      <c r="W317" s="104"/>
    </row>
    <row r="318" spans="1:23" ht="12.75">
      <c r="A318" s="107"/>
      <c r="B318" s="108"/>
      <c r="C318" s="106" t="s">
        <v>483</v>
      </c>
      <c r="D318" s="106" t="s">
        <v>217</v>
      </c>
      <c r="E318" s="108"/>
      <c r="F318" s="108"/>
      <c r="G318" s="109"/>
      <c r="H318" s="113"/>
      <c r="I318" s="113"/>
      <c r="J318" s="122">
        <f aca="true" t="shared" si="134" ref="J318:V319">J319</f>
        <v>17441.1</v>
      </c>
      <c r="K318" s="123">
        <f t="shared" si="134"/>
        <v>0</v>
      </c>
      <c r="L318" s="122">
        <f t="shared" si="134"/>
        <v>0</v>
      </c>
      <c r="M318" s="123">
        <f t="shared" si="134"/>
        <v>0</v>
      </c>
      <c r="N318" s="122">
        <f t="shared" si="134"/>
        <v>0</v>
      </c>
      <c r="O318" s="122">
        <f t="shared" si="134"/>
        <v>0</v>
      </c>
      <c r="P318" s="123">
        <f t="shared" si="134"/>
        <v>0</v>
      </c>
      <c r="Q318" s="123">
        <f t="shared" si="134"/>
        <v>0</v>
      </c>
      <c r="R318" s="122">
        <f t="shared" si="134"/>
        <v>0</v>
      </c>
      <c r="S318" s="122">
        <f t="shared" si="134"/>
        <v>0</v>
      </c>
      <c r="T318" s="122">
        <f t="shared" si="134"/>
        <v>811.4148</v>
      </c>
      <c r="U318" s="122"/>
      <c r="V318" s="114">
        <f t="shared" si="134"/>
        <v>18252.514799999997</v>
      </c>
      <c r="W318" s="104"/>
    </row>
    <row r="319" spans="1:23" ht="38.25">
      <c r="A319" s="165" t="s">
        <v>81</v>
      </c>
      <c r="B319" s="108" t="s">
        <v>216</v>
      </c>
      <c r="C319" s="108" t="s">
        <v>483</v>
      </c>
      <c r="D319" s="108" t="s">
        <v>217</v>
      </c>
      <c r="E319" s="108" t="s">
        <v>489</v>
      </c>
      <c r="F319" s="108"/>
      <c r="G319" s="109"/>
      <c r="H319" s="113"/>
      <c r="I319" s="113"/>
      <c r="J319" s="113">
        <f>J320</f>
        <v>17441.1</v>
      </c>
      <c r="K319" s="114">
        <f>K320</f>
        <v>0</v>
      </c>
      <c r="L319" s="113">
        <f>L320</f>
        <v>0</v>
      </c>
      <c r="M319" s="114">
        <f>M320</f>
        <v>0</v>
      </c>
      <c r="N319" s="114">
        <f t="shared" si="134"/>
        <v>0</v>
      </c>
      <c r="O319" s="114">
        <f t="shared" si="134"/>
        <v>0</v>
      </c>
      <c r="P319" s="114">
        <f t="shared" si="134"/>
        <v>0</v>
      </c>
      <c r="Q319" s="114">
        <f t="shared" si="134"/>
        <v>0</v>
      </c>
      <c r="R319" s="114">
        <f t="shared" si="134"/>
        <v>0</v>
      </c>
      <c r="S319" s="114">
        <f t="shared" si="134"/>
        <v>0</v>
      </c>
      <c r="T319" s="114">
        <f>T320</f>
        <v>811.4148</v>
      </c>
      <c r="U319" s="114"/>
      <c r="V319" s="114">
        <f>V320</f>
        <v>18252.514799999997</v>
      </c>
      <c r="W319" s="104"/>
    </row>
    <row r="320" spans="1:23" ht="12.75">
      <c r="A320" s="166" t="s">
        <v>490</v>
      </c>
      <c r="B320" s="108" t="s">
        <v>216</v>
      </c>
      <c r="C320" s="108" t="s">
        <v>483</v>
      </c>
      <c r="D320" s="108" t="s">
        <v>217</v>
      </c>
      <c r="E320" s="108" t="s">
        <v>489</v>
      </c>
      <c r="F320" s="108" t="s">
        <v>491</v>
      </c>
      <c r="G320" s="109"/>
      <c r="H320" s="113"/>
      <c r="I320" s="113"/>
      <c r="J320" s="113">
        <v>17441.1</v>
      </c>
      <c r="K320" s="114">
        <v>0</v>
      </c>
      <c r="L320" s="113"/>
      <c r="M320" s="114"/>
      <c r="N320" s="115"/>
      <c r="O320" s="116"/>
      <c r="P320" s="116"/>
      <c r="Q320" s="116"/>
      <c r="R320" s="116"/>
      <c r="S320" s="116"/>
      <c r="T320" s="116">
        <v>811.4148</v>
      </c>
      <c r="U320" s="116"/>
      <c r="V320" s="114">
        <f>SUM(G320:T320)</f>
        <v>18252.514799999997</v>
      </c>
      <c r="W320" s="104"/>
    </row>
    <row r="321" spans="1:23" s="127" customFormat="1" ht="27.75" customHeight="1">
      <c r="A321" s="167" t="s">
        <v>492</v>
      </c>
      <c r="B321" s="106"/>
      <c r="C321" s="106" t="s">
        <v>483</v>
      </c>
      <c r="D321" s="106" t="s">
        <v>268</v>
      </c>
      <c r="E321" s="106"/>
      <c r="F321" s="106"/>
      <c r="G321" s="39">
        <f aca="true" t="shared" si="135" ref="G321:R321">G322</f>
        <v>0</v>
      </c>
      <c r="H321" s="39">
        <f t="shared" si="135"/>
        <v>100</v>
      </c>
      <c r="I321" s="39">
        <f t="shared" si="135"/>
        <v>1000</v>
      </c>
      <c r="J321" s="39">
        <f t="shared" si="135"/>
        <v>160</v>
      </c>
      <c r="K321" s="101">
        <f t="shared" si="135"/>
        <v>0</v>
      </c>
      <c r="L321" s="39">
        <f t="shared" si="135"/>
        <v>0</v>
      </c>
      <c r="M321" s="101">
        <f t="shared" si="135"/>
        <v>0</v>
      </c>
      <c r="N321" s="102">
        <f t="shared" si="135"/>
        <v>30</v>
      </c>
      <c r="O321" s="103">
        <f t="shared" si="135"/>
        <v>0</v>
      </c>
      <c r="P321" s="103">
        <f t="shared" si="135"/>
        <v>0</v>
      </c>
      <c r="Q321" s="103">
        <f t="shared" si="135"/>
        <v>0</v>
      </c>
      <c r="R321" s="103">
        <f t="shared" si="135"/>
        <v>0</v>
      </c>
      <c r="S321" s="103">
        <f>S322+S324</f>
        <v>200</v>
      </c>
      <c r="T321" s="103">
        <f>T322+T324</f>
        <v>0</v>
      </c>
      <c r="U321" s="103"/>
      <c r="V321" s="103">
        <f>V322+V324</f>
        <v>1490</v>
      </c>
      <c r="W321" s="126"/>
    </row>
    <row r="322" spans="1:23" ht="76.5">
      <c r="A322" s="154" t="s">
        <v>493</v>
      </c>
      <c r="B322" s="145" t="s">
        <v>216</v>
      </c>
      <c r="C322" s="145" t="s">
        <v>483</v>
      </c>
      <c r="D322" s="145" t="s">
        <v>268</v>
      </c>
      <c r="E322" s="145" t="s">
        <v>494</v>
      </c>
      <c r="F322" s="145"/>
      <c r="G322" s="109"/>
      <c r="H322" s="113">
        <f aca="true" t="shared" si="136" ref="H322:O322">H323</f>
        <v>100</v>
      </c>
      <c r="I322" s="113">
        <f t="shared" si="136"/>
        <v>1000</v>
      </c>
      <c r="J322" s="113">
        <f t="shared" si="136"/>
        <v>160</v>
      </c>
      <c r="K322" s="114">
        <f t="shared" si="136"/>
        <v>0</v>
      </c>
      <c r="L322" s="113">
        <f t="shared" si="136"/>
        <v>0</v>
      </c>
      <c r="M322" s="114">
        <f t="shared" si="136"/>
        <v>0</v>
      </c>
      <c r="N322" s="115">
        <f t="shared" si="136"/>
        <v>30</v>
      </c>
      <c r="O322" s="116">
        <f t="shared" si="136"/>
        <v>0</v>
      </c>
      <c r="P322" s="116"/>
      <c r="Q322" s="116"/>
      <c r="R322" s="116"/>
      <c r="S322" s="116"/>
      <c r="T322" s="116"/>
      <c r="U322" s="116"/>
      <c r="V322" s="114">
        <f>V323</f>
        <v>1290</v>
      </c>
      <c r="W322" s="104"/>
    </row>
    <row r="323" spans="1:23" ht="12.75">
      <c r="A323" s="154" t="s">
        <v>178</v>
      </c>
      <c r="B323" s="145" t="s">
        <v>216</v>
      </c>
      <c r="C323" s="145" t="s">
        <v>483</v>
      </c>
      <c r="D323" s="145" t="s">
        <v>268</v>
      </c>
      <c r="E323" s="145" t="s">
        <v>494</v>
      </c>
      <c r="F323" s="145" t="s">
        <v>304</v>
      </c>
      <c r="G323" s="109"/>
      <c r="H323" s="113">
        <v>100</v>
      </c>
      <c r="I323" s="113">
        <v>1000</v>
      </c>
      <c r="J323" s="113">
        <v>160</v>
      </c>
      <c r="K323" s="114"/>
      <c r="L323" s="113"/>
      <c r="M323" s="114"/>
      <c r="N323" s="115">
        <f>30</f>
        <v>30</v>
      </c>
      <c r="O323" s="116"/>
      <c r="P323" s="116"/>
      <c r="Q323" s="116"/>
      <c r="R323" s="116"/>
      <c r="S323" s="116"/>
      <c r="T323" s="116"/>
      <c r="U323" s="116"/>
      <c r="V323" s="114">
        <f>G323+H323+I323+J323+N323</f>
        <v>1290</v>
      </c>
      <c r="W323" s="104"/>
    </row>
    <row r="324" spans="1:23" ht="25.5">
      <c r="A324" s="140" t="s">
        <v>495</v>
      </c>
      <c r="B324" s="145" t="s">
        <v>216</v>
      </c>
      <c r="C324" s="145" t="s">
        <v>483</v>
      </c>
      <c r="D324" s="145" t="s">
        <v>268</v>
      </c>
      <c r="E324" s="145" t="s">
        <v>496</v>
      </c>
      <c r="F324" s="145"/>
      <c r="G324" s="109"/>
      <c r="H324" s="113"/>
      <c r="I324" s="113"/>
      <c r="J324" s="113"/>
      <c r="K324" s="114"/>
      <c r="L324" s="113"/>
      <c r="M324" s="114"/>
      <c r="N324" s="115"/>
      <c r="O324" s="116"/>
      <c r="P324" s="116"/>
      <c r="Q324" s="116"/>
      <c r="R324" s="116"/>
      <c r="S324" s="116">
        <f>S325</f>
        <v>200</v>
      </c>
      <c r="T324" s="116"/>
      <c r="U324" s="116"/>
      <c r="V324" s="116">
        <f>V325</f>
        <v>200</v>
      </c>
      <c r="W324" s="104"/>
    </row>
    <row r="325" spans="1:23" ht="12.75">
      <c r="A325" s="154" t="s">
        <v>178</v>
      </c>
      <c r="B325" s="145" t="s">
        <v>216</v>
      </c>
      <c r="C325" s="145" t="s">
        <v>483</v>
      </c>
      <c r="D325" s="145" t="s">
        <v>268</v>
      </c>
      <c r="E325" s="145" t="s">
        <v>496</v>
      </c>
      <c r="F325" s="145" t="s">
        <v>304</v>
      </c>
      <c r="G325" s="109"/>
      <c r="H325" s="113"/>
      <c r="I325" s="113"/>
      <c r="J325" s="113"/>
      <c r="K325" s="114"/>
      <c r="L325" s="113"/>
      <c r="M325" s="114"/>
      <c r="N325" s="115"/>
      <c r="O325" s="116"/>
      <c r="P325" s="116"/>
      <c r="Q325" s="116"/>
      <c r="R325" s="116"/>
      <c r="S325" s="116">
        <v>200</v>
      </c>
      <c r="T325" s="116"/>
      <c r="U325" s="116"/>
      <c r="V325" s="114">
        <f>S325</f>
        <v>200</v>
      </c>
      <c r="W325" s="104"/>
    </row>
    <row r="326" spans="1:23" ht="12.75">
      <c r="A326" s="100" t="s">
        <v>209</v>
      </c>
      <c r="B326" s="168"/>
      <c r="C326" s="168"/>
      <c r="D326" s="168"/>
      <c r="E326" s="168"/>
      <c r="F326" s="168"/>
      <c r="G326" s="39">
        <f aca="true" t="shared" si="137" ref="G326:U326">G314+G267+G228+G211+G135+G131+G73+G63+G22+G121+G60+G311</f>
        <v>1526047.825</v>
      </c>
      <c r="H326" s="39">
        <f t="shared" si="137"/>
        <v>49416.409999999996</v>
      </c>
      <c r="I326" s="39">
        <f t="shared" si="137"/>
        <v>0</v>
      </c>
      <c r="J326" s="39">
        <f t="shared" si="137"/>
        <v>43229.68902</v>
      </c>
      <c r="K326" s="101">
        <f t="shared" si="137"/>
        <v>1000</v>
      </c>
      <c r="L326" s="39">
        <f t="shared" si="137"/>
        <v>-34995.061559999995</v>
      </c>
      <c r="M326" s="101">
        <f t="shared" si="137"/>
        <v>0</v>
      </c>
      <c r="N326" s="102">
        <f t="shared" si="137"/>
        <v>49824.366</v>
      </c>
      <c r="O326" s="103">
        <f t="shared" si="137"/>
        <v>0</v>
      </c>
      <c r="P326" s="103">
        <f t="shared" si="137"/>
        <v>11081.58915</v>
      </c>
      <c r="Q326" s="103">
        <f t="shared" si="137"/>
        <v>0</v>
      </c>
      <c r="R326" s="103">
        <f t="shared" si="137"/>
        <v>9296.706</v>
      </c>
      <c r="S326" s="103">
        <f>S314+S267+S228+S211+S135+S131+S73+S63+S22+S121+S60+S311</f>
        <v>5.684341886080802E-14</v>
      </c>
      <c r="T326" s="103">
        <f t="shared" si="137"/>
        <v>-1367.107</v>
      </c>
      <c r="U326" s="103">
        <f t="shared" si="137"/>
        <v>120.19399999999996</v>
      </c>
      <c r="V326" s="103">
        <f>V314+V267+V228+V211+V135+V131+V73+V63+V22+V121+V60+V311-50</f>
        <v>1653534.4166099997</v>
      </c>
      <c r="W326" s="104"/>
    </row>
    <row r="327" spans="1:7" ht="12.75">
      <c r="A327" s="71"/>
      <c r="B327" s="71"/>
      <c r="C327" s="71"/>
      <c r="D327" s="71"/>
      <c r="E327" s="71"/>
      <c r="F327" s="71"/>
      <c r="G327" s="169"/>
    </row>
    <row r="328" spans="1:7" ht="12.75">
      <c r="A328" s="170" t="s">
        <v>497</v>
      </c>
      <c r="B328" s="171"/>
      <c r="C328" s="171"/>
      <c r="D328" s="171"/>
      <c r="E328" s="171"/>
      <c r="F328" s="172"/>
      <c r="G328" s="69"/>
    </row>
    <row r="329" spans="1:21" ht="12.75">
      <c r="A329" s="173" t="s">
        <v>498</v>
      </c>
      <c r="B329" s="171"/>
      <c r="C329" s="171"/>
      <c r="D329" s="171"/>
      <c r="E329" s="171"/>
      <c r="F329" s="69" t="s">
        <v>499</v>
      </c>
      <c r="G329" s="69"/>
      <c r="U329" s="203"/>
    </row>
    <row r="330" spans="1:14" ht="12.75">
      <c r="A330" s="174"/>
      <c r="B330" s="174"/>
      <c r="C330" s="174"/>
      <c r="D330" s="174"/>
      <c r="E330" s="174"/>
      <c r="F330" s="174"/>
      <c r="G330" s="174"/>
      <c r="N330" s="175"/>
    </row>
    <row r="331" spans="1:22" ht="12.75">
      <c r="A331" s="174"/>
      <c r="B331" s="174"/>
      <c r="C331" s="174"/>
      <c r="D331" s="174"/>
      <c r="E331" s="174"/>
      <c r="F331" s="174"/>
      <c r="G331" s="174"/>
      <c r="H331" s="176"/>
      <c r="K331" s="234"/>
      <c r="L331" s="234"/>
      <c r="M331" s="234"/>
      <c r="N331" s="234"/>
      <c r="O331" s="234"/>
      <c r="P331" s="234"/>
      <c r="Q331" s="234"/>
      <c r="R331" s="234"/>
      <c r="S331" s="234"/>
      <c r="T331" s="234"/>
      <c r="U331" s="234"/>
      <c r="V331" s="234"/>
    </row>
    <row r="332" spans="1:22" ht="12.75">
      <c r="A332" s="174"/>
      <c r="B332" s="174"/>
      <c r="C332" s="174"/>
      <c r="D332" s="174"/>
      <c r="E332" s="174"/>
      <c r="F332" s="174"/>
      <c r="G332" s="174"/>
      <c r="K332" s="234"/>
      <c r="L332" s="234"/>
      <c r="M332" s="234"/>
      <c r="N332" s="234"/>
      <c r="O332" s="234"/>
      <c r="P332" s="234"/>
      <c r="Q332" s="234"/>
      <c r="R332" s="234"/>
      <c r="S332" s="234"/>
      <c r="T332" s="234"/>
      <c r="U332" s="234"/>
      <c r="V332" s="234"/>
    </row>
    <row r="333" spans="1:7" ht="12.75">
      <c r="A333" s="174"/>
      <c r="B333" s="174"/>
      <c r="C333" s="174"/>
      <c r="D333" s="174"/>
      <c r="E333" s="174"/>
      <c r="F333" s="174"/>
      <c r="G333" s="177"/>
    </row>
    <row r="334" ht="12.75">
      <c r="G334" s="178"/>
    </row>
    <row r="337" ht="12.75">
      <c r="G337" s="178"/>
    </row>
    <row r="338" ht="12.75">
      <c r="G338" s="179"/>
    </row>
  </sheetData>
  <sheetProtection/>
  <autoFilter ref="H20:V20"/>
  <mergeCells count="17">
    <mergeCell ref="E10:V10"/>
    <mergeCell ref="K11:V11"/>
    <mergeCell ref="A12:V12"/>
    <mergeCell ref="K332:V332"/>
    <mergeCell ref="A14:V14"/>
    <mergeCell ref="A15:V15"/>
    <mergeCell ref="A16:G16"/>
    <mergeCell ref="G17:V17"/>
    <mergeCell ref="K331:V331"/>
    <mergeCell ref="E1:V1"/>
    <mergeCell ref="E2:V2"/>
    <mergeCell ref="E3:V3"/>
    <mergeCell ref="E4:V4"/>
    <mergeCell ref="E6:V6"/>
    <mergeCell ref="E7:V7"/>
    <mergeCell ref="E8:V8"/>
    <mergeCell ref="E9:V9"/>
  </mergeCells>
  <printOptions/>
  <pageMargins left="0.75" right="0.75" top="0.51" bottom="0.52" header="0.5" footer="0.5"/>
  <pageSetup fitToHeight="200" fitToWidth="1" horizontalDpi="600" verticalDpi="600" orientation="portrait" paperSize="9" r:id="rId1"/>
  <rowBreaks count="1" manualBreakCount="1">
    <brk id="29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"Алданзолото "ГРК"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Pakestan</cp:lastModifiedBy>
  <dcterms:created xsi:type="dcterms:W3CDTF">2011-11-14T02:17:34Z</dcterms:created>
  <dcterms:modified xsi:type="dcterms:W3CDTF">2011-11-25T01:04:41Z</dcterms:modified>
  <cp:category/>
  <cp:version/>
  <cp:contentType/>
  <cp:contentStatus/>
</cp:coreProperties>
</file>