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Прил 1" sheetId="1" r:id="rId1"/>
    <sheet name="Прил 2" sheetId="2" r:id="rId2"/>
  </sheets>
  <definedNames>
    <definedName name="_xlnm.Print_Area" localSheetId="0">'Прил 1'!$A$1:$Q$125</definedName>
  </definedNames>
  <calcPr fullCalcOnLoad="1"/>
</workbook>
</file>

<file path=xl/sharedStrings.xml><?xml version="1.0" encoding="utf-8"?>
<sst xmlns="http://schemas.openxmlformats.org/spreadsheetml/2006/main" count="2247" uniqueCount="559">
  <si>
    <t xml:space="preserve"> Приложение 1   </t>
  </si>
  <si>
    <t>"О внесении изменений в решение Алданского районного Совета РС (Я)</t>
  </si>
  <si>
    <t xml:space="preserve">"О бюджете муниципального образования </t>
  </si>
  <si>
    <t>"Алданский район" на 2010 год"</t>
  </si>
  <si>
    <t xml:space="preserve">                                                                                  Приложение №  1</t>
  </si>
  <si>
    <t xml:space="preserve">                                                                      к решению  Алданского районного Совета</t>
  </si>
  <si>
    <t>"О бюджете муниципального образования</t>
  </si>
  <si>
    <t>Доходы бюджета муниципального образования "Алданский район" на 2010 год</t>
  </si>
  <si>
    <t>(тыс.руб)</t>
  </si>
  <si>
    <t>Наименование доходов</t>
  </si>
  <si>
    <t>Код бюджетной классификации Российской Федерации</t>
  </si>
  <si>
    <t xml:space="preserve">Сумма                </t>
  </si>
  <si>
    <t>Решение 14-7 от 10.03.2010 г.</t>
  </si>
  <si>
    <t>Решение 15-2 от 07.04.2010 г.</t>
  </si>
  <si>
    <t>Решение 16-2 от 30.05.2010 г.</t>
  </si>
  <si>
    <t>Решение 17-5 от 30.06.2010 г.</t>
  </si>
  <si>
    <t>Решение 18-10 от 24.08 2010</t>
  </si>
  <si>
    <t>НАЛОГОВЫЕ И НЕНАЛОГОВЫЕ ДОХОДЫ</t>
  </si>
  <si>
    <t>Налог на доходы физических лиц</t>
  </si>
  <si>
    <t>.02</t>
  </si>
  <si>
    <t>.02010</t>
  </si>
  <si>
    <t>.01</t>
  </si>
  <si>
    <t>.0000</t>
  </si>
  <si>
    <t>.02021</t>
  </si>
  <si>
    <t>.02022</t>
  </si>
  <si>
    <t>.02030</t>
  </si>
  <si>
    <t>.02040</t>
  </si>
  <si>
    <t>.02050</t>
  </si>
  <si>
    <t>Единый налог,взимаемый с налогоплательщиков,выбравших в качестве налогообложения доходы</t>
  </si>
  <si>
    <t>.05</t>
  </si>
  <si>
    <t>.01010</t>
  </si>
  <si>
    <t>Единый налог,взимаемый с налогоплательщиков,выбравших в качестве налогообложения доходы,уменьшенные на величину расходов</t>
  </si>
  <si>
    <t>.01020</t>
  </si>
  <si>
    <t>Единый налог на вмененный доход для отдельных видов деятельности</t>
  </si>
  <si>
    <t>.02000</t>
  </si>
  <si>
    <t>Единый сельскохозяйственный налог</t>
  </si>
  <si>
    <t>.03000</t>
  </si>
  <si>
    <t>Налог на имущество физических лиц,взимаемый по ставкам, применяемым к объектам налогообложения, расположенным в границах межселенных территорий</t>
  </si>
  <si>
    <t>.06</t>
  </si>
  <si>
    <t>.01030</t>
  </si>
  <si>
    <t>Земельный налог,взимаемый по ставкам,установленным подпунктом 1 пункта 1 статьи 394 Налогового кодекса Российской Федерации и применяемым к объектам налогообложения, расположенным  в границах межселенных территорий</t>
  </si>
  <si>
    <t>.06013</t>
  </si>
  <si>
    <t>Налог на добычу общераспространенных  полезных ископаемых</t>
  </si>
  <si>
    <t>.07</t>
  </si>
  <si>
    <t>Государственная пошлина по делам, рассматриваемым в судах общей юрисдикции,мировыми судьями (за исключением госпошлины по делам, рассматриваемым Верховным Судом РФ)</t>
  </si>
  <si>
    <t>.08</t>
  </si>
  <si>
    <t>.03010</t>
  </si>
  <si>
    <t>Государственная пошлина за государственную  регистрацию транспортных средств, и иные юридически значимые действия,связанные с изменениями и выдачей документов на транспортные средства,выдачей регистрационных знаков</t>
  </si>
  <si>
    <t>.07140</t>
  </si>
  <si>
    <t>Задолженность по отмененным налогам</t>
  </si>
  <si>
    <t>09</t>
  </si>
  <si>
    <t>00000</t>
  </si>
  <si>
    <t>00</t>
  </si>
  <si>
    <t>1000</t>
  </si>
  <si>
    <t>110</t>
  </si>
  <si>
    <t>Неналоговые доходы</t>
  </si>
  <si>
    <t>Доходы получаемые ввиде арендной платы за земельные участки,государственная собственность на которые не разграничена и которые расположены в границах межселенных территорий муниципальных районов.</t>
  </si>
  <si>
    <t>.010</t>
  </si>
  <si>
    <t>.05010</t>
  </si>
  <si>
    <t>Доходы от сдачи в ренду имущества,находящегося в оперативном управлении муниципальных районов и созданных ими учреждений(за исключением имущества муниципальных автономных учреждений)</t>
  </si>
  <si>
    <t>.05035</t>
  </si>
  <si>
    <t>Доходы, получаемые в виде арендной платы, а так же средства от продажи права на заключение договоров аренды за земли , находящиеся в собственности муниципальных районов (за исключением земельных участков муниципальных автономных учреждений, а так же земел</t>
  </si>
  <si>
    <t>010</t>
  </si>
  <si>
    <t>1</t>
  </si>
  <si>
    <t>11</t>
  </si>
  <si>
    <t>05025</t>
  </si>
  <si>
    <t>05</t>
  </si>
  <si>
    <t>0000</t>
  </si>
  <si>
    <t>120</t>
  </si>
  <si>
    <t>Доходы от перечисления части прибыли, остающиеся после уплаты налогов и иных обязательных платежей муниципальных унитарных предприятий, созданных муниципальными районами</t>
  </si>
  <si>
    <t>07015</t>
  </si>
  <si>
    <t>Плата за негативное воздействие на окружающую среду</t>
  </si>
  <si>
    <t>.01000</t>
  </si>
  <si>
    <t>Средства от распоряжения и реализации конфискованного и иного имущества</t>
  </si>
  <si>
    <t>.03050</t>
  </si>
  <si>
    <t xml:space="preserve">Доходы от продажи  земельных участков,находящихся в собственности в границах поселений </t>
  </si>
  <si>
    <t>.06014</t>
  </si>
  <si>
    <t>Доходы от продажи  земельных участков,находящихся в собственности муниципальных районов (за исключением земельных участков муниципальных автономных учреждений)</t>
  </si>
  <si>
    <t>.06025</t>
  </si>
  <si>
    <t>Доходы от реализации имущества,находящегося в собственности муниципальных районов(за исключением имущества муниципальных автономных учреждений,а также имущества муниципальных унитарных предприятий,в том числе казенных) в части реализацииосновных средств п</t>
  </si>
  <si>
    <t>Доходы от реализации иного имущества, находящегося в собственностимуниципальных районов (за исключением имущества муниципальных автономных учреждений, а так же имущества муниципальныхунитарных предприятий, в том числе казенных), в части реализации материа</t>
  </si>
  <si>
    <t>02033</t>
  </si>
  <si>
    <t>410</t>
  </si>
  <si>
    <t>Штрафы санкции возмещение ущерба</t>
  </si>
  <si>
    <t>.00000</t>
  </si>
  <si>
    <t>.00</t>
  </si>
  <si>
    <t>Денежные взыскания штрафы за нарушение законодательства в области охраны окружающей среды</t>
  </si>
  <si>
    <t xml:space="preserve">Денежные взыскания штрафы за административные правонарушения  в области дорожного движения </t>
  </si>
  <si>
    <t>Прочие поступления от денежных взысканий (штрафов) и иных сумм  в возмещении ущерба зачисляемых в бюджеты муниципальных районов</t>
  </si>
  <si>
    <t>Денежные взыскания (штрафы) за нарушение законадательства  о налогах и сборах предусмотренных статьей 129 НК РФ</t>
  </si>
  <si>
    <t>03030</t>
  </si>
  <si>
    <t>01</t>
  </si>
  <si>
    <t>Денежные взыскания (штрафы) за нарушение законадательства  о недрах</t>
  </si>
  <si>
    <t>25010</t>
  </si>
  <si>
    <t>Денежные взыскания (штрафы) за нарушение Федерального закона "О пожарной безопастности"</t>
  </si>
  <si>
    <t>27000</t>
  </si>
  <si>
    <t>Денежные взыскания (штрафы) за нарушение законадательства  в области обеспечения санитарно-эпидемиологического благополучия человека и законадательства в сфере защиты прав потребителей</t>
  </si>
  <si>
    <t>28000</t>
  </si>
  <si>
    <t>Прочие неналоговые доходы муниципальных районов</t>
  </si>
  <si>
    <t>БЕЗВОЗМЕЗДНЫЕ ПОСТУПЛЕНИЯ</t>
  </si>
  <si>
    <t xml:space="preserve">Дотации бюджетам субъектов Российской Федерации и муниципальных образований  </t>
  </si>
  <si>
    <t>2</t>
  </si>
  <si>
    <t>02</t>
  </si>
  <si>
    <t>01000</t>
  </si>
  <si>
    <t>151</t>
  </si>
  <si>
    <t>Дотации бюджетам муниципальных районов на выравнивание  бюджетной обеспеченности</t>
  </si>
  <si>
    <t>01001</t>
  </si>
  <si>
    <t>Дотация на поддержку мер по обеспечению сбалансированности местных бюджетов</t>
  </si>
  <si>
    <t>01003</t>
  </si>
  <si>
    <t>Субсидии бюджетам субъектов Российской Федерации и муниципальных образований (межбюджетные субсидии)</t>
  </si>
  <si>
    <t>02000</t>
  </si>
  <si>
    <t>Субсидии бюджетам муниципальных образований на закупку автотранспортных средств на 2009 год</t>
  </si>
  <si>
    <t>02102</t>
  </si>
  <si>
    <t xml:space="preserve">Субсидии бюджетам муниципальных образований, выделяемых на текущий ремонт муниципальных образовательных учреждений за счет средств, выделенных из федерального бюджета на реализацию комплексного проекта модернизации образования  </t>
  </si>
  <si>
    <t>02042</t>
  </si>
  <si>
    <t>Субсидии на комплектование книжных фондов библиотек  мо из федерального бюджета</t>
  </si>
  <si>
    <t>02068</t>
  </si>
  <si>
    <t>Субсидия на реконструкцию амболатории п. Ленинский</t>
  </si>
  <si>
    <t>02077</t>
  </si>
  <si>
    <t>6100</t>
  </si>
  <si>
    <t>Прочие субсидии</t>
  </si>
  <si>
    <t>02999</t>
  </si>
  <si>
    <t>в том числе:</t>
  </si>
  <si>
    <t>Подпрограмма "Развитие предпринимательства в Республике Саха (Якутия) на 2009-2011 годы"</t>
  </si>
  <si>
    <t>Субсидии на организацию отдыха и оздоровления детей в каникулярное время</t>
  </si>
  <si>
    <t>6200</t>
  </si>
  <si>
    <t>Субсидии бюджетам муниципальных образований (межбюджетные субсидии)на финансирование работ по капитальному ремонту жилищного фонда на  2010 год.</t>
  </si>
  <si>
    <t>6151</t>
  </si>
  <si>
    <t>Субсидии на проведение капитального ремонта муниципальных учреждений на 2010 год</t>
  </si>
  <si>
    <t>6154</t>
  </si>
  <si>
    <t>Субсидии на финансирование расходов, связанных с финансированием убытков, связанных с госрегулированием тарифов на электроэнергию мун. вед. ДЭС</t>
  </si>
  <si>
    <t>6152</t>
  </si>
  <si>
    <t>Субсидия на предоставление грандов на лучший молодежный проект СЭР городских и сельских поселений</t>
  </si>
  <si>
    <t>6166</t>
  </si>
  <si>
    <t>Субсидия на проведение мероприятий по патриотическому воспитанию молодежи</t>
  </si>
  <si>
    <t>6801</t>
  </si>
  <si>
    <t>Субсидии на предоставление компенсационных выплат на питание обучающимся из малообеспеченных семей МОУ</t>
  </si>
  <si>
    <t>6162</t>
  </si>
  <si>
    <t>Субсидии бюджетам муниципальных образований по государственной программе поддержки местного самоуправления на 2009-2011 годы на разработку документов территориального планирования муниципальных районов и генеральных планов населенных пунктов РС (Я) на 200</t>
  </si>
  <si>
    <t>6300</t>
  </si>
  <si>
    <t xml:space="preserve">Субсидии бюджетам муниципальных образований на обеспечение противопожарной и антитеррористической безопасности в муниципальных образовательных учреждениях РС (Я) </t>
  </si>
  <si>
    <t>6157</t>
  </si>
  <si>
    <t>Субсидии бюджетам муниципальных образований на обеспечение пожарной безопасности и антитеррористической безопасности в муниципальных учреждениях здравоохранения РС (Я) на 2010-2012 годы</t>
  </si>
  <si>
    <t>6165</t>
  </si>
  <si>
    <t>Субсидии бюджетам муниципальных образований на обеспечение пожарной безопасности в муниципальных учреждениях культуры РС (Я) на 2009 год</t>
  </si>
  <si>
    <t>6160</t>
  </si>
  <si>
    <t>Субсидии бюджетам муниципальных образований по подпрограмме "Организация летнего отдыха, оздоровления и занятости детей" государственной целевой программе "Семья и дети РС (Я) на 2007-2011 гг." на перевозку детей к местам работы родителей, занятых в отрас</t>
  </si>
  <si>
    <t>6702</t>
  </si>
  <si>
    <t>Субсидии бюджетам муниципальных образований на реализацию Республиканской программы государственной поддержки месного самоуправления на 2009-2011 годы на целевую подготовку специалистов по составлению, исполнению бюджетов поселений и ведению бюджетного уч</t>
  </si>
  <si>
    <t xml:space="preserve">Субвенции бюджетам субъектов Российской Федерации и муниципальных образований </t>
  </si>
  <si>
    <t>03000</t>
  </si>
  <si>
    <t>0090</t>
  </si>
  <si>
    <t xml:space="preserve">Субвенция на подготовку и проведение Всеросийской перепеси населения на 2010 год </t>
  </si>
  <si>
    <t>03002</t>
  </si>
  <si>
    <t>Субвенции бюджетам муниципальных районов на государственную регистрацию актов гражданского состояния</t>
  </si>
  <si>
    <t>03003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</si>
  <si>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</si>
  <si>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03007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</si>
  <si>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</si>
  <si>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</si>
  <si>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</si>
  <si>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03020</t>
  </si>
  <si>
    <t>Субвенции бюджетам муниципальных районов на  ежемесячное денежное вознаграждение за классное руководство</t>
  </si>
  <si>
    <t>03021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</si>
  <si>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</si>
  <si>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03022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</si>
  <si>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</si>
  <si>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03027</t>
  </si>
  <si>
    <t>6311</t>
  </si>
  <si>
    <t>6312</t>
  </si>
  <si>
    <t>6320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</si>
  <si>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</si>
  <si>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03029</t>
  </si>
  <si>
    <t>Субвенции на денежные выалаты медицинскому медицинскому персоналу ФАПов, врачам, фельшерам и медсестрам скорой медицинской помощи</t>
  </si>
  <si>
    <t>03055</t>
  </si>
  <si>
    <t>Субвенции на денежные выалаты медицинскому медицинскому персоналу ФАПов, врачам, фельшерам и медсестрам скорой медицинской помощи за счет средств Республиканского бюджета</t>
  </si>
  <si>
    <t>6800</t>
  </si>
  <si>
    <t xml:space="preserve">Субвенции местным бюджетам на выполнение передаваемых полномочий субъектов Российской Федерации </t>
  </si>
  <si>
    <t>03024</t>
  </si>
  <si>
    <t>Субвенция на выполнение гос. полномочий по  финансированиюспециальных (коррекционных) и оздоровительных образовательных учреждений санаторного типа</t>
  </si>
  <si>
    <t>6239</t>
  </si>
  <si>
    <t>Субвенция на выполнение гос. полномочий в области оказания противотуберкулезной помощи населению</t>
  </si>
  <si>
    <t>6249</t>
  </si>
  <si>
    <t>Субвенция на выполнение гос полномочий по осуществлению деятельности по опеке и попечительству</t>
  </si>
  <si>
    <t>6236</t>
  </si>
  <si>
    <t>Субвенция, предоставляемая органам местного самоуправления муниципальных районов для исполнения госполномочий по выравниванию бюджетов поселений</t>
  </si>
  <si>
    <t>6237</t>
  </si>
  <si>
    <t xml:space="preserve">Субвенция на выполнение отдельных государственных полномочий по комплектованию, хранению, учету и использованию документов Архивного фонда РС(Я) </t>
  </si>
  <si>
    <t>6229</t>
  </si>
  <si>
    <t xml:space="preserve">Субвенция на выполнение отдельных государственных полномочий по лицензированию розничной продажи алкогольной продукции </t>
  </si>
  <si>
    <t>6231</t>
  </si>
  <si>
    <t xml:space="preserve">Субвенция на выполнение отдельных государственных полномочий по государственному регулированию цен (тарифов)  </t>
  </si>
  <si>
    <t>6228</t>
  </si>
  <si>
    <t>Субвенция на санаторно-курортное лечение детей сирот и детей, оставшихся без попечения родителей</t>
  </si>
  <si>
    <t>6235</t>
  </si>
  <si>
    <t>Субвенция на государственный образовательный стандарт</t>
  </si>
  <si>
    <t>6210</t>
  </si>
  <si>
    <t>Субвенция на финансирование образовательных учреждений для детей-сирот и детей, оставшихся без попечения родителей</t>
  </si>
  <si>
    <t>6226</t>
  </si>
  <si>
    <t xml:space="preserve">Субвенция на обеспечение проезда детей-сирот и детей, оставшихся без попечения родителей, обучающихся в муниципальных образовательных учреждениях </t>
  </si>
  <si>
    <t>6227</t>
  </si>
  <si>
    <t>Субвенция на бесплатное обеспечение лекарственными средствами и изделиями медицинского назначения отдельных категорий населения</t>
  </si>
  <si>
    <t>6221</t>
  </si>
  <si>
    <t>Субвенция на обеспечение бесплатным питанием детей в возрасте до трех лет</t>
  </si>
  <si>
    <t>6222</t>
  </si>
  <si>
    <t>Субвенция  по реализации ФЗ от 25.10.02г. №125-ФЗ "О жилищных субсидиях гражданам, выезжающим из районов Крайнего севера и приравненных к ним местностей"</t>
  </si>
  <si>
    <t>6234</t>
  </si>
  <si>
    <t xml:space="preserve">Субвенция на выполнение отдельных государственных полномочий в области охраны труда </t>
  </si>
  <si>
    <t>6232</t>
  </si>
  <si>
    <t>Субвенция на исполнение функций комиссий по делам несовершеннолетних</t>
  </si>
  <si>
    <t>6233</t>
  </si>
  <si>
    <t>Субвенция на оплату проезда граждан РС (Я) к месту лечения  в республиканские специалиализированные медицинские учреждения и обратно</t>
  </si>
  <si>
    <t>6224</t>
  </si>
  <si>
    <t>Субвенция на исполнение функций административных комиссий</t>
  </si>
  <si>
    <t>6250</t>
  </si>
  <si>
    <t>Иные межбюджетные трансферты</t>
  </si>
  <si>
    <t>04000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</si>
  <si>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</si>
  <si>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04012</t>
  </si>
  <si>
    <t>6500</t>
  </si>
  <si>
    <t>Компенсация дополнительных расходов на приобритение и установку электронной цифровой подписи для глав муниципальных образований Республики Саха (Якутия)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</si>
  <si>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 другого уровня (субсидии на капремонт больницы пос. Н-Куранах)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</si>
  <si>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</si>
  <si>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04014</t>
  </si>
  <si>
    <t>Прочие межбюджетные трансферты, передаваемые бюджетам муниципальных районов из государственного бюджета на софинансирование расходов местных бюджетов, связанных с организацией общественных работ в рамках программы дополнительных мер по снижению напряженно</t>
  </si>
  <si>
    <t>04999</t>
  </si>
  <si>
    <t>Межбюджетные трансферты, передаваемые бюджетам муницмпальных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</si>
  <si>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</si>
  <si>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04029</t>
  </si>
  <si>
    <t xml:space="preserve">                          ИТОГО  ДОХОДОВ</t>
  </si>
  <si>
    <t xml:space="preserve">Председатель Алданского </t>
  </si>
  <si>
    <t xml:space="preserve">                         районного Совета:</t>
  </si>
  <si>
    <t>С.П. Жаворонков</t>
  </si>
  <si>
    <t xml:space="preserve">Приложение 2   </t>
  </si>
  <si>
    <t>Приложение № 5</t>
  </si>
  <si>
    <t xml:space="preserve">к решению Алданского районного Совета </t>
  </si>
  <si>
    <t xml:space="preserve"> Распределение бюджетных ассигнований</t>
  </si>
  <si>
    <t xml:space="preserve">муниципального образования "Алданский район"на 2010 год </t>
  </si>
  <si>
    <t>по разделам, подразделам, целевым статьям и видам   функциональной  и ведомственной структуре расходов бюджетов Российской Федерации</t>
  </si>
  <si>
    <t>(тыс.руб.)</t>
  </si>
  <si>
    <t>Наименование</t>
  </si>
  <si>
    <t>Ведомство</t>
  </si>
  <si>
    <t>Рз</t>
  </si>
  <si>
    <t>ПР</t>
  </si>
  <si>
    <t>ЦСР</t>
  </si>
  <si>
    <t>ВР</t>
  </si>
  <si>
    <t>Сумма</t>
  </si>
  <si>
    <t>Решение сессии 13-1 от 27.01.2010 г.</t>
  </si>
  <si>
    <t>Решение 14-7 от 10.03.2010 г. за счет дополнительных доходов</t>
  </si>
  <si>
    <t>Решение 14-7 от 10.03.2010 г. за счет перемещения бюджетных ассигнований</t>
  </si>
  <si>
    <t>Решение 15-2 от 07.04.2010 г. за счет дополнительных доходов</t>
  </si>
  <si>
    <t>Решение 15-2 от 07.04.2010 г. за счет перемещения бюджетных ассигнований</t>
  </si>
  <si>
    <t>Решение 16-2 от 12.05.2010 г. за счет дополнительных доходов</t>
  </si>
  <si>
    <t>Решение16-2 от12.05.2010 г. за счет перемещения бюджетных ассигнований</t>
  </si>
  <si>
    <t>Решение 17-5 от 30.06.2010 г. за счет дополнительных доходов</t>
  </si>
  <si>
    <t>Решение17-5 от 30.06.2010 г. за счет перемещения бюджетных ассигнований</t>
  </si>
  <si>
    <t>Прект решения за счет дополнительных доходов</t>
  </si>
  <si>
    <t>ВСЕГО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</si>
  <si>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</si>
  <si>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</si>
  <si>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</si>
  <si>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</si>
  <si>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 xml:space="preserve"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  </t>
  </si>
  <si>
    <t>002 00 00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</si>
  <si>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</si>
  <si>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</si>
  <si>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</si>
  <si>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</si>
  <si>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</si>
  <si>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</si>
  <si>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</si>
  <si>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0020490</t>
  </si>
  <si>
    <t>Расходы на содержание органов государственной власти и органов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</si>
  <si>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</si>
  <si>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</si>
  <si>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</si>
  <si>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002 04 00</t>
  </si>
  <si>
    <t>002 04 90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</si>
  <si>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</si>
  <si>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</si>
  <si>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</si>
  <si>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</si>
  <si>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</si>
  <si>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заместители</t>
  </si>
  <si>
    <t>0022500</t>
  </si>
  <si>
    <t>Обеспечение проведения выборов и референдумов</t>
  </si>
  <si>
    <t>07</t>
  </si>
  <si>
    <t>Резервные фонды</t>
  </si>
  <si>
    <t>Резервные фонды местных администраций</t>
  </si>
  <si>
    <t>070 05 00</t>
  </si>
  <si>
    <t>Прочие расходы</t>
  </si>
  <si>
    <t>013</t>
  </si>
  <si>
    <t>Другие общегосударственные вопросы</t>
  </si>
  <si>
    <t>Осуществление полномочий по подготовке проведения статистических переписей</t>
  </si>
  <si>
    <t>14</t>
  </si>
  <si>
    <t>0014300</t>
  </si>
  <si>
    <t>Обеспечение деятельности подведомственных учреждений</t>
  </si>
  <si>
    <t>0029990</t>
  </si>
  <si>
    <t>Выполнение функций бюджетными учреждениями</t>
  </si>
  <si>
    <t>001</t>
  </si>
  <si>
    <t>0920319</t>
  </si>
  <si>
    <t>Выполнение прочих обязательств государства</t>
  </si>
  <si>
    <t>092 03 90</t>
  </si>
  <si>
    <t>Расходы на выполнение отдельных государственных полномочий по комплектованию, хранению, учету и использованию документов Архивного фонда РС(Я)</t>
  </si>
  <si>
    <t>521 02 29</t>
  </si>
  <si>
    <t>Расходы на выполнение отдельных государственных полномочий по реализации Федерального закона от 25.10.02г. № 125-ФЗ "О жилищных субсидиях гражданам, выезжающим из районов Крайнего Севера и приравненных к ним местностей"</t>
  </si>
  <si>
    <t>521 02 34</t>
  </si>
  <si>
    <t>Расходы на исполнение функций административных комиссий</t>
  </si>
  <si>
    <t>521 02 50</t>
  </si>
  <si>
    <t>Защита населения и территории от чрезвычайных ситуаций природного и техногенного характера, гражданская оборона</t>
  </si>
  <si>
    <t>Органы внутренних дел</t>
  </si>
  <si>
    <t>Целевые программы муниципальных образований</t>
  </si>
  <si>
    <t>7950000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</si>
  <si>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</si>
  <si>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</si>
  <si>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Национальная  экономика</t>
  </si>
  <si>
    <t>Общеэкономические вопросы</t>
  </si>
  <si>
    <t>Расходы на выполнение отдельных государственных полномочий по государственному регулированию цен (тарифов)</t>
  </si>
  <si>
    <t>521 02 28</t>
  </si>
  <si>
    <t>Расходы на выполнение отдельных государственных полномочий по лицензированию розничной продажи алкогольной продукции</t>
  </si>
  <si>
    <t>521 02 31</t>
  </si>
  <si>
    <t>Топливно – энергетический комплекс</t>
  </si>
  <si>
    <t>Мероприятия в топливно-энергетической области</t>
  </si>
  <si>
    <t>2480100</t>
  </si>
  <si>
    <t>Субсидии юридическим лицам</t>
  </si>
  <si>
    <t>006</t>
  </si>
  <si>
    <t>Сельское хозяйство и рыболовство</t>
  </si>
  <si>
    <t>Мероприятия в области сельскохозяйственного производства</t>
  </si>
  <si>
    <t>342</t>
  </si>
  <si>
    <t xml:space="preserve">Транспорт                                                            </t>
  </si>
  <si>
    <t>08</t>
  </si>
  <si>
    <t>Отдельные мероприятия в области автомобильного транспорта</t>
  </si>
  <si>
    <t>303 02 00</t>
  </si>
  <si>
    <t>Субсидии на закупку автотранспортных средств и коммунальной техники</t>
  </si>
  <si>
    <t>340 07 02</t>
  </si>
  <si>
    <t>Дорожное хозяйство</t>
  </si>
  <si>
    <t>Содержание автомобильных  дорог общего пользования</t>
  </si>
  <si>
    <t>315 01 02</t>
  </si>
  <si>
    <t>Другие вопросы в области национальной экономики</t>
  </si>
  <si>
    <t>12</t>
  </si>
  <si>
    <t>0929900</t>
  </si>
  <si>
    <t>0939909</t>
  </si>
  <si>
    <t>Мероприятия по землеустройству и землепользованию</t>
  </si>
  <si>
    <t>340 03 00</t>
  </si>
  <si>
    <t>5220501</t>
  </si>
  <si>
    <t>Программа государственной поддержки местного самоуправления на 2006-2008 годы</t>
  </si>
  <si>
    <t>5221300</t>
  </si>
  <si>
    <t>Жилищно-коммунальное хозяйство</t>
  </si>
  <si>
    <t>Другие вопросы в области жилищно-коммунального хозяйства</t>
  </si>
  <si>
    <t>0029900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</si>
  <si>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</si>
  <si>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</si>
  <si>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</si>
  <si>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443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</si>
  <si>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</si>
  <si>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</si>
  <si>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</si>
  <si>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</si>
  <si>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</si>
  <si>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</si>
  <si>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510 03 00</t>
  </si>
  <si>
    <t>Мероприятия по безопасности образовательных учреждений</t>
  </si>
  <si>
    <t>521 01 57</t>
  </si>
  <si>
    <t>Субсидии на предоставление компенсационных выплат на питание учащимся из малообеспеченных семей</t>
  </si>
  <si>
    <t>521 01 62</t>
  </si>
  <si>
    <t>Общее образование</t>
  </si>
  <si>
    <t>Общее образование дотация</t>
  </si>
  <si>
    <t>400 00 00</t>
  </si>
  <si>
    <t>Школы-детские сады, школы начальные, неполные средние и средние</t>
  </si>
  <si>
    <t>421 00 00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</si>
  <si>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</si>
  <si>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</si>
  <si>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</si>
  <si>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</si>
  <si>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</si>
  <si>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</si>
  <si>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>Расходы на ежемесячное денежное вознаграждение за классное руководство за счет средств государственного бюджета РС (Я)</t>
  </si>
  <si>
    <t>520 09 00</t>
  </si>
  <si>
    <t>520 12 00</t>
  </si>
  <si>
    <t xml:space="preserve">Межбюджетные трансферты
</t>
  </si>
  <si>
    <t>5210000</t>
  </si>
  <si>
    <t>Субвенции на обеспечение деятельности специальных (коррекционных) образовательных учреждений для детей с ограниченными возможностями здоровья и образовательных учреждений санаторного типа для детей, нуждающихся в длительном лечении</t>
  </si>
  <si>
    <t>5210239</t>
  </si>
  <si>
    <t>Расходы на реализацию государственного стандарта общего образования</t>
  </si>
  <si>
    <t>521 02 10</t>
  </si>
  <si>
    <t>Расходы на реализацию государственного стандарта общего образования школ - детских садов, школ начальных, неполных средних и средних</t>
  </si>
  <si>
    <t>521 02 11</t>
  </si>
  <si>
    <t>Расходы на реализацию государственного стандарта общего образования школ-интернатов</t>
  </si>
  <si>
    <t>521 02 12</t>
  </si>
  <si>
    <t>Расходы на реализацию государственного стандарта общего образования специальных (коррекционных) учреждений</t>
  </si>
  <si>
    <t>521 02 13</t>
  </si>
  <si>
    <t xml:space="preserve">Расходы на финансирование образовательных учреждений для детей-сирот и детей, оставшихся без попечения родителей </t>
  </si>
  <si>
    <t>521 02 26</t>
  </si>
  <si>
    <t>Финансирование работ по капитальному ремонту учреждений бюджетной сферы</t>
  </si>
  <si>
    <t>521 01 54</t>
  </si>
  <si>
    <t>Субсидии на предоставление компенсационных выплат на питание учащимся из малообеспеченных семей в муниципальных общеобразовательных учреждениях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</si>
  <si>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</si>
  <si>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</si>
  <si>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</si>
  <si>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</si>
  <si>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</si>
  <si>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Оздоровление детей</t>
  </si>
  <si>
    <t>4320200</t>
  </si>
  <si>
    <t xml:space="preserve">Проведение оздоровительных и других мероприятий для детей и молодежи </t>
  </si>
  <si>
    <t>447</t>
  </si>
  <si>
    <t>Мероприятия по проведению оздоровительной кампании детей</t>
  </si>
  <si>
    <t>432 99 00</t>
  </si>
  <si>
    <t xml:space="preserve">Оздоровление детей </t>
  </si>
  <si>
    <t>Подпрограмма "Организация летнего отдыха, оздоровления и занятости детей"</t>
  </si>
  <si>
    <t>522 17 02</t>
  </si>
  <si>
    <t>Проведение мероприятий по патриотическому воспитанию молодежи</t>
  </si>
  <si>
    <t>5221800</t>
  </si>
  <si>
    <t>Проведение оздоровительных и других мероприятий для детей и молодежи</t>
  </si>
  <si>
    <t>795 00 00</t>
  </si>
  <si>
    <t>Другие вопросы в области образования</t>
  </si>
  <si>
    <t xml:space="preserve">Учреждения, обеспечивающие предоставление услуг в сфере образования </t>
  </si>
  <si>
    <t>435 00 00</t>
  </si>
  <si>
    <t>435 99 00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</si>
  <si>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</si>
  <si>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</si>
  <si>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</si>
  <si>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</si>
  <si>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</si>
  <si>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</si>
  <si>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</si>
  <si>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</si>
  <si>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</si>
  <si>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</si>
  <si>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</si>
  <si>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</si>
  <si>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</si>
  <si>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</si>
  <si>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</si>
  <si>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</si>
  <si>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</si>
  <si>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Субсидии бюджетам муниципальных образований на обеспечение пожарно безопасности в муниципальных учреждениях культуры РС (Я) на 2009 год</t>
  </si>
  <si>
    <t>521 01 60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</si>
  <si>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</si>
  <si>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</si>
  <si>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</si>
  <si>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</si>
  <si>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</si>
  <si>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</si>
  <si>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(капремонт больницы пос. Н-Куранах)</t>
  </si>
  <si>
    <t>5201500</t>
  </si>
  <si>
    <t>Мероприятия по обеспечению пожарной безопасности на объектах муниципальных учреждений здравоохранения Республики Саха (Якутия)</t>
  </si>
  <si>
    <t>521 01 65</t>
  </si>
  <si>
    <t>Расходы на выполнение отдельных государственных полномочий в области оказания противотуберкулезной помощи населению</t>
  </si>
  <si>
    <t>5210249</t>
  </si>
  <si>
    <t xml:space="preserve">Бесплатное обеспечение лекарственными средствами и изделиями медицинского назначения отдельных категорий населения </t>
  </si>
  <si>
    <t>521 02 21</t>
  </si>
  <si>
    <t xml:space="preserve">Бесплатное питание детей в возрасте до 3 лет </t>
  </si>
  <si>
    <t>521 02 22</t>
  </si>
  <si>
    <t>Амбулаторная помощь</t>
  </si>
  <si>
    <t>Поликлиники, амбулатории, диагностические центры</t>
  </si>
  <si>
    <t>4719900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</si>
  <si>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</si>
  <si>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</si>
  <si>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</si>
  <si>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</si>
  <si>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</si>
  <si>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Подпрограмма "Развитие первичного звена здравоохранения и семейной медицины"</t>
  </si>
  <si>
    <t>5220108</t>
  </si>
  <si>
    <t>Бюджетные инвестиции</t>
  </si>
  <si>
    <t>003</t>
  </si>
  <si>
    <t>Скорая медицинская помощь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</si>
  <si>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</si>
  <si>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</si>
  <si>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512 97 00</t>
  </si>
  <si>
    <t>Другие вопросы в области здравоохранения, физической культуры и спорта</t>
  </si>
  <si>
    <t>Оплата проезда граждан Республики Саха (Якутия) к месту лечения в республиканские специализированные медицинские учреждения и обратно</t>
  </si>
  <si>
    <t>521 02 24</t>
  </si>
  <si>
    <t>Социальная политика</t>
  </si>
  <si>
    <t>Пенсионное обеспечение</t>
  </si>
  <si>
    <t>Ежемесячные доплаты к трудовой пенсии лицам, замещавшим муниципальные должности и муниципальные должности муниципальной службы</t>
  </si>
  <si>
    <t>491 01 02</t>
  </si>
  <si>
    <t>Социальные выплаты</t>
  </si>
  <si>
    <t>005</t>
  </si>
  <si>
    <t>Социальное обеспечение населения</t>
  </si>
  <si>
    <t>Предоставление гражданам субсидий на оплату жилого помещения  и коммунальных услуг</t>
  </si>
  <si>
    <t xml:space="preserve">Иные виды социальной помощи </t>
  </si>
  <si>
    <t>10</t>
  </si>
  <si>
    <t>Охрана семьи и детства</t>
  </si>
  <si>
    <t>Социальная помощь</t>
  </si>
  <si>
    <t>505 00 00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</si>
  <si>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</si>
  <si>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</si>
  <si>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</si>
  <si>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</si>
  <si>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Выплаты семьям опекунов на содержание подопечных детей</t>
  </si>
  <si>
    <t>520 13 20</t>
  </si>
  <si>
    <t>521 00 00</t>
  </si>
  <si>
    <t>Расходы на обеспечение проезда детей-сирот и детей, оставшихся без попечения родителей, обучающихся в муниципальных образовательных учреждениях</t>
  </si>
  <si>
    <t>521 02 27</t>
  </si>
  <si>
    <t>Расходы на санаторно-курортное лечение детей-сирот и детей, оставшихся без попечения родителей</t>
  </si>
  <si>
    <t>521 02 35</t>
  </si>
  <si>
    <t>Расходы на содержание органов по опеке и попечительству</t>
  </si>
  <si>
    <t>Другие вопросы в области социальной политики</t>
  </si>
  <si>
    <t>Расходы на выполнение отдельных государственных полномочий в области охраны труда</t>
  </si>
  <si>
    <t>521 02 32</t>
  </si>
  <si>
    <t>Расходы на выполнение отдельных государственных полномочий по исполнению функций комиссий по делам несовершеннолетних</t>
  </si>
  <si>
    <t>521 02 33</t>
  </si>
  <si>
    <t>Межбюджетные трансферты</t>
  </si>
  <si>
    <t>Дотации бюджетам субъектов Российской Федерации и муниципальных образований</t>
  </si>
  <si>
    <t xml:space="preserve">Выравнивание бюджетной обеспеченности поселений из районного фонда финансовой поддержки </t>
  </si>
  <si>
    <t>516 01 30</t>
  </si>
  <si>
    <t>Фонд финансовой поддержки</t>
  </si>
  <si>
    <t>008</t>
  </si>
  <si>
    <t>5170200</t>
  </si>
  <si>
    <t xml:space="preserve">Прочие дотации </t>
  </si>
  <si>
    <t>007</t>
  </si>
  <si>
    <t>3400702</t>
  </si>
  <si>
    <t>Фонд софинансирования</t>
  </si>
  <si>
    <t>Финансирование работ по капитальному ремонту жилищного фонда</t>
  </si>
  <si>
    <t>521 01 51</t>
  </si>
  <si>
    <t>Гранты Президента РС(Я) на лучший молодежный проект социально-экономического развития городских и сельских поселений РС(Я)</t>
  </si>
  <si>
    <t>521 01 66</t>
  </si>
  <si>
    <t>Субсидии бюджетам муниципальных образований по государственной программе поддержки местного самоуправления на 2009-2011 годы на разработку документов территориального планирования муниципальных районов и генеральных планов населенных пунктов РС (Я) на 201</t>
  </si>
  <si>
    <t>522 13 00</t>
  </si>
  <si>
    <t>Субсидии бюджетам муниципальных образований по государственной программе поддержки месного самоуправления на 2009-2011 годы на целевую подготовку специалистов по составлению, исполнению бюджетов поселений и ведению бюджетного учета расходов местных бюджет</t>
  </si>
  <si>
    <t>Программа дополнительных мер по снижению напряженности на рынке труда в Республике Саха (Якутия) на 2009 год</t>
  </si>
  <si>
    <t>5222600</t>
  </si>
  <si>
    <t>Субвенции бюджетам субъектов Российской Федерации и муниципальных образований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</si>
  <si>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</si>
  <si>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</si>
  <si>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</si>
  <si>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</si>
  <si>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</si>
  <si>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009</t>
  </si>
  <si>
    <t xml:space="preserve">Государственная регистрация актов гражданского состояния </t>
  </si>
  <si>
    <t>001 38 00</t>
  </si>
  <si>
    <t>Оплата жилищно-коммунальных услуг отдельным категориям граждан</t>
  </si>
  <si>
    <t>505 46 00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</si>
  <si>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</si>
  <si>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</si>
  <si>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017</t>
  </si>
  <si>
    <t>Иные межбюджетные трансферты  бюджетам бюджетной системы</t>
  </si>
  <si>
    <t>521 03 00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</si>
  <si>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</si>
  <si>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521 06 00</t>
  </si>
  <si>
    <t>Межбюджетные трансферты бюджетам поселений на реализацию дополнительных мероприятий по снижению напряженности на рынке труда в Республике Саха (Якутия) на 2010 год</t>
  </si>
  <si>
    <t>522 26 00</t>
  </si>
  <si>
    <t xml:space="preserve">                   Председатель Алданского </t>
  </si>
  <si>
    <t xml:space="preserve">                               районного Совета</t>
  </si>
  <si>
    <t>С.П.Жаворонков</t>
  </si>
  <si>
    <t>Решение 19-10 от 19.10.2010</t>
  </si>
  <si>
    <t>Проект решения</t>
  </si>
  <si>
    <t>03026</t>
  </si>
  <si>
    <t>Субвенция на обеспечение жилыми помещениями детей-сирот и детей, оставшихся без попечения родителей, и лиц из их числа</t>
  </si>
  <si>
    <t>Решение 19-10 от 19.10.2010 за счет дополнительных доходов</t>
  </si>
  <si>
    <t>Решение 19-10 от 19.10.2010 за счет перемещения бюджетных ассигнований</t>
  </si>
  <si>
    <t>505 36 00</t>
  </si>
  <si>
    <t xml:space="preserve"> за счет перемещения бюджетных ассигнований</t>
  </si>
  <si>
    <t>02008</t>
  </si>
  <si>
    <t>1040200</t>
  </si>
  <si>
    <t>Подпрограмма "Обеспечение жильем молодых семей"</t>
  </si>
  <si>
    <t>Субсидия на реализацию подпрограммы "Обеспечение жильем молодых семей" РЦП "Жилище" на 2010-2012 гг.</t>
  </si>
  <si>
    <t>к решению № 20-1 от 30.11.2010 г.  Алданского районного Совета РС (Я)</t>
  </si>
  <si>
    <t>к решению № 20-1 от 30.11.2010 г. Алданского районного Совета РС (Я)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</si>
</sst>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00"/>
    <numFmt numFmtId="169" formatCode="#,##0.0"/>
    <numFmt numFmtId="170" formatCode="0.0"/>
    <numFmt numFmtId="171" formatCode="0.000"/>
    <numFmt numFmtId="172" formatCode="#,##0.0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sz val="8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name val="Times New Roman"/>
      <family val="1"/>
    </font>
    <font>
      <b/>
      <sz val="10"/>
      <name val="Showcard Gothic"/>
      <family val="5"/>
    </font>
    <font>
      <sz val="10"/>
      <color indexed="8"/>
      <name val="Times New Roman"/>
      <family val="1"/>
    </font>
    <font>
      <b/>
      <sz val="8"/>
      <name val="Arial Cyr"/>
      <family val="0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53">
      <alignment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53" applyFont="1">
      <alignment/>
      <protection/>
    </xf>
    <xf numFmtId="0" fontId="5" fillId="0" borderId="0" xfId="53" applyFont="1" applyAlignment="1">
      <alignment wrapText="1"/>
      <protection/>
    </xf>
    <xf numFmtId="0" fontId="5" fillId="0" borderId="0" xfId="53" applyFont="1" applyAlignment="1">
      <alignment vertical="top" wrapText="1"/>
      <protection/>
    </xf>
    <xf numFmtId="0" fontId="5" fillId="0" borderId="0" xfId="53" applyFont="1">
      <alignment/>
      <protection/>
    </xf>
    <xf numFmtId="4" fontId="7" fillId="0" borderId="0" xfId="53" applyNumberFormat="1" applyFont="1" applyFill="1" applyAlignment="1">
      <alignment horizontal="right"/>
      <protection/>
    </xf>
    <xf numFmtId="4" fontId="5" fillId="0" borderId="0" xfId="53" applyNumberFormat="1" applyFont="1" applyFill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wrapText="1"/>
    </xf>
    <xf numFmtId="4" fontId="8" fillId="0" borderId="10" xfId="54" applyNumberFormat="1" applyFont="1" applyFill="1" applyBorder="1" applyAlignment="1">
      <alignment horizont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0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53" applyFont="1" applyFill="1" applyBorder="1" applyAlignment="1">
      <alignment wrapText="1"/>
      <protection/>
    </xf>
    <xf numFmtId="0" fontId="7" fillId="0" borderId="10" xfId="53" applyFont="1" applyBorder="1">
      <alignment/>
      <protection/>
    </xf>
    <xf numFmtId="168" fontId="7" fillId="0" borderId="10" xfId="53" applyNumberFormat="1" applyFont="1" applyFill="1" applyBorder="1" applyAlignment="1">
      <alignment horizontal="right"/>
      <protection/>
    </xf>
    <xf numFmtId="0" fontId="11" fillId="0" borderId="10" xfId="53" applyFont="1" applyFill="1" applyBorder="1" applyAlignment="1">
      <alignment wrapText="1"/>
      <protection/>
    </xf>
    <xf numFmtId="0" fontId="5" fillId="0" borderId="10" xfId="53" applyFont="1" applyBorder="1" applyAlignment="1">
      <alignment horizontal="left"/>
      <protection/>
    </xf>
    <xf numFmtId="168" fontId="5" fillId="0" borderId="10" xfId="53" applyNumberFormat="1" applyFont="1" applyFill="1" applyBorder="1" applyAlignment="1">
      <alignment horizontal="right"/>
      <protection/>
    </xf>
    <xf numFmtId="168" fontId="5" fillId="0" borderId="10" xfId="0" applyNumberFormat="1" applyFont="1" applyFill="1" applyBorder="1" applyAlignment="1">
      <alignment/>
    </xf>
    <xf numFmtId="168" fontId="5" fillId="0" borderId="10" xfId="0" applyNumberFormat="1" applyFont="1" applyBorder="1" applyAlignment="1">
      <alignment/>
    </xf>
    <xf numFmtId="0" fontId="5" fillId="0" borderId="10" xfId="53" applyFont="1" applyBorder="1" applyAlignment="1">
      <alignment wrapText="1"/>
      <protection/>
    </xf>
    <xf numFmtId="49" fontId="5" fillId="0" borderId="10" xfId="53" applyNumberFormat="1" applyFont="1" applyBorder="1" applyAlignment="1">
      <alignment horizontal="left"/>
      <protection/>
    </xf>
    <xf numFmtId="0" fontId="7" fillId="0" borderId="10" xfId="53" applyFont="1" applyBorder="1" applyAlignment="1">
      <alignment horizontal="left"/>
      <protection/>
    </xf>
    <xf numFmtId="168" fontId="0" fillId="0" borderId="0" xfId="0" applyNumberFormat="1" applyAlignment="1">
      <alignment/>
    </xf>
    <xf numFmtId="0" fontId="10" fillId="0" borderId="10" xfId="53" applyFont="1" applyFill="1" applyBorder="1" applyAlignment="1">
      <alignment horizontal="left" wrapText="1"/>
      <protection/>
    </xf>
    <xf numFmtId="49" fontId="10" fillId="0" borderId="10" xfId="53" applyNumberFormat="1" applyFont="1" applyFill="1" applyBorder="1" applyAlignment="1">
      <alignment horizontal="left"/>
      <protection/>
    </xf>
    <xf numFmtId="168" fontId="10" fillId="0" borderId="10" xfId="53" applyNumberFormat="1" applyFont="1" applyFill="1" applyBorder="1" applyAlignment="1">
      <alignment horizontal="right"/>
      <protection/>
    </xf>
    <xf numFmtId="0" fontId="11" fillId="0" borderId="10" xfId="53" applyFont="1" applyFill="1" applyBorder="1" applyAlignment="1">
      <alignment horizontal="left" wrapText="1"/>
      <protection/>
    </xf>
    <xf numFmtId="49" fontId="11" fillId="0" borderId="10" xfId="53" applyNumberFormat="1" applyFont="1" applyFill="1" applyBorder="1" applyAlignment="1">
      <alignment horizontal="left"/>
      <protection/>
    </xf>
    <xf numFmtId="168" fontId="11" fillId="0" borderId="10" xfId="53" applyNumberFormat="1" applyFont="1" applyFill="1" applyBorder="1" applyAlignment="1">
      <alignment horizontal="right"/>
      <protection/>
    </xf>
    <xf numFmtId="0" fontId="5" fillId="33" borderId="10" xfId="53" applyFont="1" applyFill="1" applyBorder="1" applyAlignment="1">
      <alignment vertical="top" wrapText="1"/>
      <protection/>
    </xf>
    <xf numFmtId="49" fontId="8" fillId="0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0" xfId="53" applyNumberFormat="1" applyFont="1" applyFill="1" applyBorder="1" applyAlignment="1">
      <alignment vertical="center" wrapText="1"/>
      <protection/>
    </xf>
    <xf numFmtId="168" fontId="12" fillId="0" borderId="10" xfId="0" applyNumberFormat="1" applyFont="1" applyFill="1" applyBorder="1" applyAlignment="1">
      <alignment/>
    </xf>
    <xf numFmtId="49" fontId="5" fillId="0" borderId="10" xfId="53" applyNumberFormat="1" applyFont="1" applyFill="1" applyBorder="1" applyAlignment="1">
      <alignment vertical="center" wrapText="1"/>
      <protection/>
    </xf>
    <xf numFmtId="168" fontId="5" fillId="34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172" fontId="7" fillId="0" borderId="10" xfId="53" applyNumberFormat="1" applyFont="1" applyFill="1" applyBorder="1" applyAlignment="1">
      <alignment horizontal="right"/>
      <protection/>
    </xf>
    <xf numFmtId="168" fontId="5" fillId="0" borderId="0" xfId="53" applyNumberFormat="1" applyFont="1">
      <alignment/>
      <protection/>
    </xf>
    <xf numFmtId="0" fontId="0" fillId="0" borderId="0" xfId="0" applyFill="1" applyAlignment="1">
      <alignment/>
    </xf>
    <xf numFmtId="0" fontId="5" fillId="0" borderId="0" xfId="53" applyFont="1" applyAlignment="1">
      <alignment horizontal="center" wrapText="1"/>
      <protection/>
    </xf>
    <xf numFmtId="49" fontId="5" fillId="0" borderId="0" xfId="53" applyNumberFormat="1" applyFont="1" applyAlignment="1">
      <alignment horizontal="center"/>
      <protection/>
    </xf>
    <xf numFmtId="49" fontId="5" fillId="0" borderId="0" xfId="53" applyNumberFormat="1" applyFont="1">
      <alignment/>
      <protection/>
    </xf>
    <xf numFmtId="0" fontId="5" fillId="0" borderId="0" xfId="53" applyFont="1" applyAlignment="1">
      <alignment horizontal="left" wrapText="1"/>
      <protection/>
    </xf>
    <xf numFmtId="168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68" fontId="13" fillId="0" borderId="0" xfId="0" applyNumberFormat="1" applyFont="1" applyAlignment="1">
      <alignment/>
    </xf>
    <xf numFmtId="0" fontId="8" fillId="0" borderId="0" xfId="53" applyFont="1">
      <alignment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53" applyNumberFormat="1" applyFont="1" applyFill="1" applyAlignment="1" quotePrefix="1">
      <alignment vertical="center" wrapText="1"/>
      <protection/>
    </xf>
    <xf numFmtId="49" fontId="6" fillId="0" borderId="0" xfId="53" applyNumberFormat="1" applyFont="1" applyFill="1" applyAlignment="1" quotePrefix="1">
      <alignment wrapText="1"/>
      <protection/>
    </xf>
    <xf numFmtId="0" fontId="6" fillId="0" borderId="0" xfId="53" applyFont="1" applyFill="1" applyAlignment="1">
      <alignment wrapText="1"/>
      <protection/>
    </xf>
    <xf numFmtId="3" fontId="8" fillId="0" borderId="0" xfId="53" applyNumberFormat="1" applyFont="1" applyFill="1" applyAlignment="1" applyProtection="1">
      <alignment horizontal="right" shrinkToFit="1"/>
      <protection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0" xfId="53" applyNumberFormat="1" applyFont="1" applyFill="1" applyBorder="1" applyAlignment="1">
      <alignment horizontal="center" vertical="center"/>
      <protection/>
    </xf>
    <xf numFmtId="3" fontId="8" fillId="0" borderId="10" xfId="5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wrapText="1"/>
    </xf>
    <xf numFmtId="0" fontId="8" fillId="0" borderId="10" xfId="53" applyFont="1" applyFill="1" applyBorder="1" applyAlignment="1">
      <alignment horizontal="center" wrapText="1"/>
      <protection/>
    </xf>
    <xf numFmtId="4" fontId="0" fillId="0" borderId="10" xfId="0" applyNumberFormat="1" applyFont="1" applyFill="1" applyBorder="1" applyAlignment="1">
      <alignment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vertical="top" wrapText="1"/>
      <protection/>
    </xf>
    <xf numFmtId="49" fontId="6" fillId="0" borderId="10" xfId="53" applyNumberFormat="1" applyFont="1" applyFill="1" applyBorder="1" applyAlignment="1">
      <alignment horizontal="center" wrapText="1"/>
      <protection/>
    </xf>
    <xf numFmtId="0" fontId="8" fillId="0" borderId="10" xfId="53" applyFont="1" applyFill="1" applyBorder="1" applyAlignment="1">
      <alignment vertical="top" wrapText="1"/>
      <protection/>
    </xf>
    <xf numFmtId="49" fontId="8" fillId="0" borderId="10" xfId="53" applyNumberFormat="1" applyFont="1" applyFill="1" applyBorder="1" applyAlignment="1">
      <alignment horizontal="center" wrapText="1"/>
      <protection/>
    </xf>
    <xf numFmtId="168" fontId="9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172" fontId="5" fillId="0" borderId="10" xfId="53" applyNumberFormat="1" applyFont="1" applyFill="1" applyBorder="1" applyAlignment="1">
      <alignment horizontal="right"/>
      <protection/>
    </xf>
    <xf numFmtId="0" fontId="14" fillId="0" borderId="10" xfId="54" applyFont="1" applyBorder="1" applyAlignment="1">
      <alignment wrapText="1"/>
      <protection/>
    </xf>
    <xf numFmtId="0" fontId="8" fillId="0" borderId="10" xfId="54" applyFont="1" applyFill="1" applyBorder="1" applyAlignment="1">
      <alignment wrapText="1"/>
      <protection/>
    </xf>
    <xf numFmtId="4" fontId="7" fillId="0" borderId="10" xfId="54" applyNumberFormat="1" applyFont="1" applyFill="1" applyBorder="1">
      <alignment/>
      <protection/>
    </xf>
    <xf numFmtId="168" fontId="7" fillId="0" borderId="10" xfId="54" applyNumberFormat="1" applyFont="1" applyFill="1" applyBorder="1">
      <alignment/>
      <protection/>
    </xf>
    <xf numFmtId="172" fontId="7" fillId="0" borderId="10" xfId="54" applyNumberFormat="1" applyFont="1" applyFill="1" applyBorder="1">
      <alignment/>
      <protection/>
    </xf>
    <xf numFmtId="49" fontId="8" fillId="35" borderId="10" xfId="0" applyNumberFormat="1" applyFont="1" applyFill="1" applyBorder="1" applyAlignment="1">
      <alignment vertical="top" wrapText="1"/>
    </xf>
    <xf numFmtId="0" fontId="6" fillId="36" borderId="10" xfId="53" applyFont="1" applyFill="1" applyBorder="1" applyAlignment="1">
      <alignment vertical="top" wrapText="1"/>
      <protection/>
    </xf>
    <xf numFmtId="168" fontId="7" fillId="0" borderId="10" xfId="53" applyNumberFormat="1" applyFont="1" applyFill="1" applyBorder="1">
      <alignment/>
      <protection/>
    </xf>
    <xf numFmtId="172" fontId="7" fillId="0" borderId="10" xfId="53" applyNumberFormat="1" applyFont="1" applyFill="1" applyBorder="1">
      <alignment/>
      <protection/>
    </xf>
    <xf numFmtId="168" fontId="5" fillId="0" borderId="10" xfId="53" applyNumberFormat="1" applyFont="1" applyFill="1" applyBorder="1">
      <alignment/>
      <protection/>
    </xf>
    <xf numFmtId="0" fontId="8" fillId="0" borderId="10" xfId="54" applyFont="1" applyBorder="1" applyAlignment="1">
      <alignment wrapText="1"/>
      <protection/>
    </xf>
    <xf numFmtId="0" fontId="15" fillId="0" borderId="10" xfId="53" applyFont="1" applyFill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6" fillId="0" borderId="10" xfId="54" applyFont="1" applyBorder="1" applyAlignment="1">
      <alignment wrapText="1"/>
      <protection/>
    </xf>
    <xf numFmtId="168" fontId="7" fillId="0" borderId="0" xfId="53" applyNumberFormat="1" applyFont="1" applyFill="1" applyBorder="1" applyAlignment="1">
      <alignment horizontal="right"/>
      <protection/>
    </xf>
    <xf numFmtId="172" fontId="16" fillId="0" borderId="10" xfId="0" applyNumberFormat="1" applyFont="1" applyFill="1" applyBorder="1" applyAlignment="1">
      <alignment/>
    </xf>
    <xf numFmtId="0" fontId="8" fillId="36" borderId="10" xfId="53" applyFont="1" applyFill="1" applyBorder="1" applyAlignment="1">
      <alignment vertical="top" wrapText="1"/>
      <protection/>
    </xf>
    <xf numFmtId="49" fontId="8" fillId="35" borderId="10" xfId="54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wrapText="1"/>
    </xf>
    <xf numFmtId="0" fontId="17" fillId="0" borderId="10" xfId="53" applyFont="1" applyFill="1" applyBorder="1" applyAlignment="1">
      <alignment vertical="top" wrapText="1"/>
      <protection/>
    </xf>
    <xf numFmtId="0" fontId="15" fillId="36" borderId="10" xfId="53" applyFont="1" applyFill="1" applyBorder="1" applyAlignment="1">
      <alignment horizontal="left" wrapText="1"/>
      <protection/>
    </xf>
    <xf numFmtId="49" fontId="6" fillId="35" borderId="10" xfId="0" applyNumberFormat="1" applyFont="1" applyFill="1" applyBorder="1" applyAlignment="1">
      <alignment vertical="top" wrapText="1"/>
    </xf>
    <xf numFmtId="172" fontId="5" fillId="0" borderId="10" xfId="53" applyNumberFormat="1" applyFont="1" applyFill="1" applyBorder="1">
      <alignment/>
      <protection/>
    </xf>
    <xf numFmtId="0" fontId="8" fillId="0" borderId="10" xfId="55" applyFont="1" applyBorder="1" applyAlignment="1">
      <alignment wrapText="1"/>
      <protection/>
    </xf>
    <xf numFmtId="4" fontId="5" fillId="0" borderId="10" xfId="54" applyNumberFormat="1" applyFont="1" applyFill="1" applyBorder="1">
      <alignment/>
      <protection/>
    </xf>
    <xf numFmtId="0" fontId="8" fillId="33" borderId="10" xfId="53" applyFont="1" applyFill="1" applyBorder="1" applyAlignment="1">
      <alignment vertical="top" wrapText="1"/>
      <protection/>
    </xf>
    <xf numFmtId="168" fontId="5" fillId="0" borderId="10" xfId="54" applyNumberFormat="1" applyFont="1" applyFill="1" applyBorder="1">
      <alignment/>
      <protection/>
    </xf>
    <xf numFmtId="172" fontId="5" fillId="0" borderId="10" xfId="54" applyNumberFormat="1" applyFont="1" applyFill="1" applyBorder="1">
      <alignment/>
      <protection/>
    </xf>
    <xf numFmtId="0" fontId="18" fillId="0" borderId="10" xfId="54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center" wrapText="1"/>
      <protection/>
    </xf>
    <xf numFmtId="168" fontId="7" fillId="0" borderId="0" xfId="54" applyNumberFormat="1" applyFont="1" applyBorder="1">
      <alignment/>
      <protection/>
    </xf>
    <xf numFmtId="0" fontId="8" fillId="0" borderId="10" xfId="53" applyFont="1" applyFill="1" applyBorder="1" applyAlignment="1">
      <alignment wrapText="1"/>
      <protection/>
    </xf>
    <xf numFmtId="0" fontId="2" fillId="0" borderId="10" xfId="54" applyBorder="1" applyAlignment="1">
      <alignment wrapText="1"/>
      <protection/>
    </xf>
    <xf numFmtId="168" fontId="16" fillId="0" borderId="10" xfId="0" applyNumberFormat="1" applyFont="1" applyFill="1" applyBorder="1" applyAlignment="1">
      <alignment/>
    </xf>
    <xf numFmtId="49" fontId="8" fillId="0" borderId="10" xfId="54" applyNumberFormat="1" applyFont="1" applyFill="1" applyBorder="1" applyAlignment="1">
      <alignment vertical="top" wrapText="1"/>
      <protection/>
    </xf>
    <xf numFmtId="0" fontId="8" fillId="0" borderId="10" xfId="53" applyFont="1" applyFill="1" applyBorder="1">
      <alignment/>
      <protection/>
    </xf>
    <xf numFmtId="0" fontId="8" fillId="0" borderId="0" xfId="53" applyFont="1" applyFill="1">
      <alignment/>
      <protection/>
    </xf>
    <xf numFmtId="168" fontId="0" fillId="0" borderId="0" xfId="0" applyNumberFormat="1" applyFont="1" applyFill="1" applyAlignment="1">
      <alignment/>
    </xf>
    <xf numFmtId="0" fontId="8" fillId="0" borderId="0" xfId="53" applyFont="1" applyFill="1" applyAlignment="1">
      <alignment horizontal="center" wrapText="1"/>
      <protection/>
    </xf>
    <xf numFmtId="49" fontId="8" fillId="0" borderId="0" xfId="53" applyNumberFormat="1" applyFont="1" applyFill="1" applyAlignment="1">
      <alignment horizontal="center"/>
      <protection/>
    </xf>
    <xf numFmtId="49" fontId="8" fillId="0" borderId="0" xfId="53" applyNumberFormat="1" applyFont="1" applyFill="1">
      <alignment/>
      <protection/>
    </xf>
    <xf numFmtId="0" fontId="0" fillId="0" borderId="0" xfId="0" applyFont="1" applyFill="1" applyAlignment="1">
      <alignment/>
    </xf>
    <xf numFmtId="0" fontId="8" fillId="0" borderId="0" xfId="53" applyFont="1" applyFill="1" applyAlignment="1">
      <alignment horizontal="left" wrapText="1"/>
      <protection/>
    </xf>
    <xf numFmtId="0" fontId="8" fillId="0" borderId="0" xfId="54" applyFont="1">
      <alignment/>
      <protection/>
    </xf>
    <xf numFmtId="0" fontId="8" fillId="0" borderId="0" xfId="54" applyFont="1" applyFill="1">
      <alignment/>
      <protection/>
    </xf>
    <xf numFmtId="0" fontId="2" fillId="0" borderId="0" xfId="54" applyFont="1">
      <alignment/>
      <protection/>
    </xf>
    <xf numFmtId="0" fontId="2" fillId="0" borderId="0" xfId="54" applyFont="1" applyFill="1">
      <alignment/>
      <protection/>
    </xf>
    <xf numFmtId="168" fontId="9" fillId="37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68" fontId="7" fillId="37" borderId="10" xfId="53" applyNumberFormat="1" applyFont="1" applyFill="1" applyBorder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9" fontId="6" fillId="0" borderId="0" xfId="53" applyNumberFormat="1" applyFont="1" applyFill="1" applyAlignment="1">
      <alignment horizontal="center"/>
      <protection/>
    </xf>
    <xf numFmtId="49" fontId="6" fillId="0" borderId="0" xfId="53" applyNumberFormat="1" applyFont="1" applyFill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Обычный_Лист3" xfId="55"/>
    <cellStyle name="Обычный_фото улусов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8"/>
  <sheetViews>
    <sheetView tabSelected="1" view="pageBreakPreview" zoomScaleSheetLayoutView="100" zoomScalePageLayoutView="0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W15" sqref="W15"/>
    </sheetView>
  </sheetViews>
  <sheetFormatPr defaultColWidth="9.00390625" defaultRowHeight="12.75"/>
  <cols>
    <col min="1" max="1" width="41.25390625" style="0" customWidth="1"/>
    <col min="2" max="2" width="5.375" style="0" customWidth="1"/>
    <col min="3" max="3" width="3.125" style="0" customWidth="1"/>
    <col min="4" max="4" width="3.75390625" style="0" customWidth="1"/>
    <col min="5" max="5" width="6.00390625" style="0" customWidth="1"/>
    <col min="6" max="6" width="3.625" style="0" customWidth="1"/>
    <col min="7" max="7" width="5.75390625" style="0" customWidth="1"/>
    <col min="8" max="8" width="3.75390625" style="0" customWidth="1"/>
    <col min="9" max="9" width="16.625" style="0" hidden="1" customWidth="1"/>
    <col min="10" max="14" width="13.125" style="0" hidden="1" customWidth="1"/>
    <col min="15" max="15" width="19.25390625" style="0" hidden="1" customWidth="1"/>
    <col min="16" max="16" width="15.875" style="0" hidden="1" customWidth="1"/>
    <col min="17" max="17" width="17.125" style="0" customWidth="1"/>
    <col min="18" max="18" width="11.125" style="0" bestFit="1" customWidth="1"/>
  </cols>
  <sheetData>
    <row r="1" spans="1:18" ht="12.7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"/>
    </row>
    <row r="2" spans="1:18" ht="12.75">
      <c r="A2" s="135" t="s">
        <v>558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"/>
    </row>
    <row r="3" spans="1:18" ht="12.75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"/>
    </row>
    <row r="4" spans="1:18" ht="12.75">
      <c r="A4" s="134" t="s">
        <v>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2"/>
    </row>
    <row r="5" spans="1:18" ht="12.75">
      <c r="A5" s="134" t="s">
        <v>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2"/>
    </row>
    <row r="7" spans="1:18" ht="12.75">
      <c r="A7" s="3"/>
      <c r="B7" s="134" t="s">
        <v>4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4"/>
    </row>
    <row r="8" spans="1:18" ht="12.75">
      <c r="A8" s="3"/>
      <c r="B8" s="134" t="s">
        <v>5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5"/>
    </row>
    <row r="9" spans="1:18" ht="12.75">
      <c r="A9" s="3"/>
      <c r="B9" s="134" t="s">
        <v>6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4"/>
    </row>
    <row r="10" spans="1:18" ht="12.75">
      <c r="A10" s="3"/>
      <c r="B10" s="134" t="s">
        <v>3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4"/>
    </row>
    <row r="11" spans="1:9" ht="12.75">
      <c r="A11" s="3"/>
      <c r="B11" s="3"/>
      <c r="C11" s="3"/>
      <c r="D11" s="3"/>
      <c r="E11" s="6"/>
      <c r="F11" s="6"/>
      <c r="G11" s="6"/>
      <c r="H11" s="6"/>
      <c r="I11" s="6"/>
    </row>
    <row r="12" spans="1:17" ht="12.75">
      <c r="A12" s="133" t="s">
        <v>7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</row>
    <row r="13" spans="1:17" ht="29.25" customHeight="1">
      <c r="A13" s="7"/>
      <c r="B13" s="8"/>
      <c r="C13" s="7"/>
      <c r="D13" s="9"/>
      <c r="E13" s="9"/>
      <c r="F13" s="9"/>
      <c r="G13" s="9"/>
      <c r="H13" s="9"/>
      <c r="I13" s="10"/>
      <c r="Q13" s="11" t="s">
        <v>8</v>
      </c>
    </row>
    <row r="14" spans="1:17" ht="25.5">
      <c r="A14" s="12" t="s">
        <v>9</v>
      </c>
      <c r="B14" s="131" t="s">
        <v>10</v>
      </c>
      <c r="C14" s="131"/>
      <c r="D14" s="131"/>
      <c r="E14" s="131"/>
      <c r="F14" s="131"/>
      <c r="G14" s="131"/>
      <c r="H14" s="131"/>
      <c r="I14" s="12" t="s">
        <v>11</v>
      </c>
      <c r="J14" s="13" t="s">
        <v>12</v>
      </c>
      <c r="K14" s="13" t="s">
        <v>13</v>
      </c>
      <c r="L14" s="14" t="s">
        <v>14</v>
      </c>
      <c r="M14" s="14" t="s">
        <v>15</v>
      </c>
      <c r="N14" s="14" t="s">
        <v>16</v>
      </c>
      <c r="O14" s="14" t="s">
        <v>545</v>
      </c>
      <c r="P14" s="14" t="s">
        <v>546</v>
      </c>
      <c r="Q14" s="12" t="s">
        <v>11</v>
      </c>
    </row>
    <row r="15" spans="1:17" ht="12.75">
      <c r="A15" s="15">
        <v>1</v>
      </c>
      <c r="B15" s="132">
        <v>2</v>
      </c>
      <c r="C15" s="132"/>
      <c r="D15" s="132"/>
      <c r="E15" s="132"/>
      <c r="F15" s="132"/>
      <c r="G15" s="132"/>
      <c r="H15" s="132"/>
      <c r="I15" s="15">
        <v>3</v>
      </c>
      <c r="J15" s="16"/>
      <c r="K15" s="16"/>
      <c r="L15" s="16"/>
      <c r="M15" s="16"/>
      <c r="N15" s="16"/>
      <c r="O15" s="16"/>
      <c r="P15" s="16"/>
      <c r="Q15" s="17">
        <v>3</v>
      </c>
    </row>
    <row r="16" spans="1:17" ht="12.75">
      <c r="A16" s="18" t="s">
        <v>17</v>
      </c>
      <c r="B16" s="19"/>
      <c r="C16" s="19"/>
      <c r="D16" s="19"/>
      <c r="E16" s="19"/>
      <c r="F16" s="19"/>
      <c r="G16" s="19"/>
      <c r="H16" s="19"/>
      <c r="I16" s="20">
        <f>I17+I18+I19+I20+I21+I23+I24+I25+I26+I29+I30+I31+I33</f>
        <v>389293.97000000003</v>
      </c>
      <c r="J16" s="20">
        <f>J17+J18+J19+J20+J21+J23+J24+J25+J26+J29+J30+J31+J33</f>
        <v>0</v>
      </c>
      <c r="K16" s="20"/>
      <c r="L16" s="20">
        <f>L23</f>
        <v>1064.6</v>
      </c>
      <c r="M16" s="20">
        <f>M17+M18+M19+M20+M21+M23+M24+M25+M26+M29+M30+M31+M33</f>
        <v>0</v>
      </c>
      <c r="N16" s="20">
        <f>N17+N18+N19+N20+N21+N23+N24+N25+N26+N29+N30+N31+N33</f>
        <v>11883.1</v>
      </c>
      <c r="O16" s="20">
        <f>O17+O18+O19+O20+O21+O23+O24+O25+O26+O29+O30+O31+O33</f>
        <v>6775.9</v>
      </c>
      <c r="P16" s="20"/>
      <c r="Q16" s="20">
        <f>Q17+Q18+Q19+Q20+Q21+Q23+Q24+Q25+Q26+Q29+Q30+Q31+Q33</f>
        <v>409017.56999999995</v>
      </c>
    </row>
    <row r="17" spans="1:17" ht="12.75">
      <c r="A17" s="21" t="s">
        <v>18</v>
      </c>
      <c r="B17" s="22">
        <v>182</v>
      </c>
      <c r="C17" s="22">
        <v>1</v>
      </c>
      <c r="D17" s="22" t="s">
        <v>19</v>
      </c>
      <c r="E17" s="22" t="s">
        <v>20</v>
      </c>
      <c r="F17" s="22" t="s">
        <v>21</v>
      </c>
      <c r="G17" s="22" t="s">
        <v>22</v>
      </c>
      <c r="H17" s="22">
        <v>110</v>
      </c>
      <c r="I17" s="23">
        <v>411</v>
      </c>
      <c r="J17" s="24"/>
      <c r="K17" s="24"/>
      <c r="L17" s="24"/>
      <c r="M17" s="24"/>
      <c r="N17" s="24"/>
      <c r="O17" s="24"/>
      <c r="P17" s="24"/>
      <c r="Q17" s="25">
        <f aca="true" t="shared" si="0" ref="Q17:Q22">I17+J17</f>
        <v>411</v>
      </c>
    </row>
    <row r="18" spans="1:17" ht="12.75">
      <c r="A18" s="21" t="s">
        <v>18</v>
      </c>
      <c r="B18" s="22">
        <v>182</v>
      </c>
      <c r="C18" s="22">
        <v>1</v>
      </c>
      <c r="D18" s="22" t="s">
        <v>19</v>
      </c>
      <c r="E18" s="22" t="s">
        <v>23</v>
      </c>
      <c r="F18" s="22" t="s">
        <v>21</v>
      </c>
      <c r="G18" s="22" t="s">
        <v>22</v>
      </c>
      <c r="H18" s="22">
        <v>110</v>
      </c>
      <c r="I18" s="23">
        <v>274579.2</v>
      </c>
      <c r="J18" s="24"/>
      <c r="K18" s="24"/>
      <c r="L18" s="24"/>
      <c r="M18" s="24"/>
      <c r="N18" s="24"/>
      <c r="O18" s="24"/>
      <c r="P18" s="24"/>
      <c r="Q18" s="25">
        <f t="shared" si="0"/>
        <v>274579.2</v>
      </c>
    </row>
    <row r="19" spans="1:17" ht="12.75">
      <c r="A19" s="21" t="s">
        <v>18</v>
      </c>
      <c r="B19" s="22">
        <v>182</v>
      </c>
      <c r="C19" s="22">
        <v>1</v>
      </c>
      <c r="D19" s="22" t="s">
        <v>19</v>
      </c>
      <c r="E19" s="22" t="s">
        <v>24</v>
      </c>
      <c r="F19" s="22" t="s">
        <v>21</v>
      </c>
      <c r="G19" s="22" t="s">
        <v>22</v>
      </c>
      <c r="H19" s="22">
        <v>110</v>
      </c>
      <c r="I19" s="23">
        <v>1894.5</v>
      </c>
      <c r="J19" s="24"/>
      <c r="K19" s="24"/>
      <c r="L19" s="24"/>
      <c r="M19" s="24"/>
      <c r="N19" s="24"/>
      <c r="O19" s="24"/>
      <c r="P19" s="24"/>
      <c r="Q19" s="25">
        <f t="shared" si="0"/>
        <v>1894.5</v>
      </c>
    </row>
    <row r="20" spans="1:17" ht="12.75">
      <c r="A20" s="21" t="s">
        <v>18</v>
      </c>
      <c r="B20" s="22">
        <v>182</v>
      </c>
      <c r="C20" s="22">
        <v>1</v>
      </c>
      <c r="D20" s="22" t="s">
        <v>19</v>
      </c>
      <c r="E20" s="22" t="s">
        <v>25</v>
      </c>
      <c r="F20" s="22" t="s">
        <v>21</v>
      </c>
      <c r="G20" s="22" t="s">
        <v>22</v>
      </c>
      <c r="H20" s="22">
        <v>110</v>
      </c>
      <c r="I20" s="23">
        <v>25.2</v>
      </c>
      <c r="J20" s="24"/>
      <c r="K20" s="24"/>
      <c r="L20" s="24"/>
      <c r="M20" s="24"/>
      <c r="N20" s="24"/>
      <c r="O20" s="24"/>
      <c r="P20" s="24"/>
      <c r="Q20" s="25">
        <f t="shared" si="0"/>
        <v>25.2</v>
      </c>
    </row>
    <row r="21" spans="1:17" ht="12.75">
      <c r="A21" s="21" t="s">
        <v>18</v>
      </c>
      <c r="B21" s="22">
        <v>182</v>
      </c>
      <c r="C21" s="22">
        <v>1</v>
      </c>
      <c r="D21" s="22" t="s">
        <v>19</v>
      </c>
      <c r="E21" s="22" t="s">
        <v>26</v>
      </c>
      <c r="F21" s="22" t="s">
        <v>21</v>
      </c>
      <c r="G21" s="22" t="s">
        <v>22</v>
      </c>
      <c r="H21" s="22">
        <v>110</v>
      </c>
      <c r="I21" s="23">
        <v>50.1</v>
      </c>
      <c r="J21" s="24"/>
      <c r="K21" s="24"/>
      <c r="L21" s="24"/>
      <c r="M21" s="24"/>
      <c r="N21" s="24"/>
      <c r="O21" s="24"/>
      <c r="P21" s="24"/>
      <c r="Q21" s="25">
        <f t="shared" si="0"/>
        <v>50.1</v>
      </c>
    </row>
    <row r="22" spans="1:17" ht="12.75" hidden="1">
      <c r="A22" s="21" t="s">
        <v>18</v>
      </c>
      <c r="B22" s="22">
        <v>182</v>
      </c>
      <c r="C22" s="22">
        <v>1</v>
      </c>
      <c r="D22" s="22" t="s">
        <v>19</v>
      </c>
      <c r="E22" s="22" t="s">
        <v>27</v>
      </c>
      <c r="F22" s="22" t="s">
        <v>21</v>
      </c>
      <c r="G22" s="22" t="s">
        <v>22</v>
      </c>
      <c r="H22" s="22">
        <v>110</v>
      </c>
      <c r="I22" s="23"/>
      <c r="J22" s="24"/>
      <c r="K22" s="24"/>
      <c r="L22" s="24"/>
      <c r="M22" s="24"/>
      <c r="N22" s="24"/>
      <c r="O22" s="24"/>
      <c r="P22" s="24"/>
      <c r="Q22" s="25">
        <f t="shared" si="0"/>
        <v>0</v>
      </c>
    </row>
    <row r="23" spans="1:17" ht="33.75">
      <c r="A23" s="21" t="s">
        <v>28</v>
      </c>
      <c r="B23" s="22">
        <v>182</v>
      </c>
      <c r="C23" s="22">
        <v>1</v>
      </c>
      <c r="D23" s="22" t="s">
        <v>29</v>
      </c>
      <c r="E23" s="22" t="s">
        <v>30</v>
      </c>
      <c r="F23" s="22" t="s">
        <v>21</v>
      </c>
      <c r="G23" s="22" t="s">
        <v>22</v>
      </c>
      <c r="H23" s="22">
        <v>110</v>
      </c>
      <c r="I23" s="23">
        <v>39510.27</v>
      </c>
      <c r="J23" s="24"/>
      <c r="K23" s="24"/>
      <c r="L23" s="24">
        <v>1064.6</v>
      </c>
      <c r="M23" s="24"/>
      <c r="N23" s="24">
        <f>280.9+602.2</f>
        <v>883.1</v>
      </c>
      <c r="O23" s="24"/>
      <c r="P23" s="24"/>
      <c r="Q23" s="25">
        <f>I23+J23+L23+M23+N23</f>
        <v>41457.969999999994</v>
      </c>
    </row>
    <row r="24" spans="1:17" ht="45">
      <c r="A24" s="21" t="s">
        <v>31</v>
      </c>
      <c r="B24" s="22">
        <v>182</v>
      </c>
      <c r="C24" s="22">
        <v>1</v>
      </c>
      <c r="D24" s="22" t="s">
        <v>29</v>
      </c>
      <c r="E24" s="22" t="s">
        <v>32</v>
      </c>
      <c r="F24" s="22" t="s">
        <v>21</v>
      </c>
      <c r="G24" s="22" t="s">
        <v>22</v>
      </c>
      <c r="H24" s="22">
        <v>110</v>
      </c>
      <c r="I24" s="23">
        <v>7241.4</v>
      </c>
      <c r="J24" s="24"/>
      <c r="K24" s="24"/>
      <c r="L24" s="24"/>
      <c r="M24" s="24"/>
      <c r="N24" s="24"/>
      <c r="O24" s="24"/>
      <c r="P24" s="24"/>
      <c r="Q24" s="25">
        <f aca="true" t="shared" si="1" ref="Q24:Q30">I24+J24</f>
        <v>7241.4</v>
      </c>
    </row>
    <row r="25" spans="1:17" ht="22.5">
      <c r="A25" s="21" t="s">
        <v>33</v>
      </c>
      <c r="B25" s="22">
        <v>182</v>
      </c>
      <c r="C25" s="22">
        <v>1</v>
      </c>
      <c r="D25" s="22" t="s">
        <v>29</v>
      </c>
      <c r="E25" s="22" t="s">
        <v>34</v>
      </c>
      <c r="F25" s="22" t="s">
        <v>19</v>
      </c>
      <c r="G25" s="22" t="s">
        <v>22</v>
      </c>
      <c r="H25" s="22">
        <v>110</v>
      </c>
      <c r="I25" s="23">
        <v>33938.1</v>
      </c>
      <c r="J25" s="24"/>
      <c r="K25" s="24"/>
      <c r="L25" s="24"/>
      <c r="M25" s="24"/>
      <c r="N25" s="24"/>
      <c r="O25" s="24"/>
      <c r="P25" s="24"/>
      <c r="Q25" s="25">
        <f t="shared" si="1"/>
        <v>33938.1</v>
      </c>
    </row>
    <row r="26" spans="1:17" ht="12.75">
      <c r="A26" s="21" t="s">
        <v>35</v>
      </c>
      <c r="B26" s="22">
        <v>182</v>
      </c>
      <c r="C26" s="22">
        <v>1</v>
      </c>
      <c r="D26" s="22" t="s">
        <v>29</v>
      </c>
      <c r="E26" s="22" t="s">
        <v>36</v>
      </c>
      <c r="F26" s="22" t="s">
        <v>21</v>
      </c>
      <c r="G26" s="22" t="s">
        <v>22</v>
      </c>
      <c r="H26" s="22">
        <v>110</v>
      </c>
      <c r="I26" s="23">
        <v>63</v>
      </c>
      <c r="J26" s="24"/>
      <c r="K26" s="24"/>
      <c r="L26" s="24"/>
      <c r="M26" s="24"/>
      <c r="N26" s="24"/>
      <c r="O26" s="24"/>
      <c r="P26" s="24"/>
      <c r="Q26" s="25">
        <f t="shared" si="1"/>
        <v>63</v>
      </c>
    </row>
    <row r="27" spans="1:17" ht="45" hidden="1">
      <c r="A27" s="21" t="s">
        <v>37</v>
      </c>
      <c r="B27" s="22">
        <v>182</v>
      </c>
      <c r="C27" s="22">
        <v>1</v>
      </c>
      <c r="D27" s="22" t="s">
        <v>38</v>
      </c>
      <c r="E27" s="22" t="s">
        <v>39</v>
      </c>
      <c r="F27" s="22" t="s">
        <v>29</v>
      </c>
      <c r="G27" s="22" t="s">
        <v>22</v>
      </c>
      <c r="H27" s="22">
        <v>110</v>
      </c>
      <c r="I27" s="23"/>
      <c r="J27" s="24"/>
      <c r="K27" s="24"/>
      <c r="L27" s="24"/>
      <c r="M27" s="24"/>
      <c r="N27" s="24"/>
      <c r="O27" s="24"/>
      <c r="P27" s="24"/>
      <c r="Q27" s="25">
        <f t="shared" si="1"/>
        <v>0</v>
      </c>
    </row>
    <row r="28" spans="1:17" ht="67.5" hidden="1">
      <c r="A28" s="21" t="s">
        <v>40</v>
      </c>
      <c r="B28" s="22">
        <v>182</v>
      </c>
      <c r="C28" s="22">
        <v>1</v>
      </c>
      <c r="D28" s="22" t="s">
        <v>38</v>
      </c>
      <c r="E28" s="22" t="s">
        <v>41</v>
      </c>
      <c r="F28" s="22" t="s">
        <v>29</v>
      </c>
      <c r="G28" s="22" t="s">
        <v>22</v>
      </c>
      <c r="H28" s="22">
        <v>110</v>
      </c>
      <c r="I28" s="23"/>
      <c r="J28" s="24"/>
      <c r="K28" s="24"/>
      <c r="L28" s="24"/>
      <c r="M28" s="24"/>
      <c r="N28" s="24"/>
      <c r="O28" s="24"/>
      <c r="P28" s="24"/>
      <c r="Q28" s="25">
        <f t="shared" si="1"/>
        <v>0</v>
      </c>
    </row>
    <row r="29" spans="1:17" ht="22.5">
      <c r="A29" s="21" t="s">
        <v>42</v>
      </c>
      <c r="B29" s="22">
        <v>182</v>
      </c>
      <c r="C29" s="22">
        <v>1</v>
      </c>
      <c r="D29" s="22" t="s">
        <v>43</v>
      </c>
      <c r="E29" s="22" t="s">
        <v>32</v>
      </c>
      <c r="F29" s="22" t="s">
        <v>21</v>
      </c>
      <c r="G29" s="22" t="s">
        <v>22</v>
      </c>
      <c r="H29" s="22">
        <v>110</v>
      </c>
      <c r="I29" s="23">
        <v>11659</v>
      </c>
      <c r="J29" s="24"/>
      <c r="K29" s="24"/>
      <c r="L29" s="24"/>
      <c r="M29" s="24"/>
      <c r="N29" s="24"/>
      <c r="O29" s="24"/>
      <c r="P29" s="24"/>
      <c r="Q29" s="25">
        <f t="shared" si="1"/>
        <v>11659</v>
      </c>
    </row>
    <row r="30" spans="1:17" ht="56.25">
      <c r="A30" s="21" t="s">
        <v>44</v>
      </c>
      <c r="B30" s="22">
        <v>182</v>
      </c>
      <c r="C30" s="22">
        <v>1</v>
      </c>
      <c r="D30" s="22" t="s">
        <v>45</v>
      </c>
      <c r="E30" s="22" t="s">
        <v>46</v>
      </c>
      <c r="F30" s="22" t="s">
        <v>21</v>
      </c>
      <c r="G30" s="22" t="s">
        <v>22</v>
      </c>
      <c r="H30" s="22">
        <v>110</v>
      </c>
      <c r="I30" s="23">
        <v>2000</v>
      </c>
      <c r="J30" s="24"/>
      <c r="K30" s="24"/>
      <c r="L30" s="24"/>
      <c r="M30" s="24"/>
      <c r="N30" s="24"/>
      <c r="O30" s="24"/>
      <c r="P30" s="24"/>
      <c r="Q30" s="25">
        <f t="shared" si="1"/>
        <v>2000</v>
      </c>
    </row>
    <row r="31" spans="1:17" ht="67.5">
      <c r="A31" s="21" t="s">
        <v>47</v>
      </c>
      <c r="B31" s="22">
        <v>182</v>
      </c>
      <c r="C31" s="22">
        <v>1</v>
      </c>
      <c r="D31" s="22" t="s">
        <v>45</v>
      </c>
      <c r="E31" s="22" t="s">
        <v>48</v>
      </c>
      <c r="F31" s="22" t="s">
        <v>21</v>
      </c>
      <c r="G31" s="22" t="s">
        <v>22</v>
      </c>
      <c r="H31" s="22">
        <v>110</v>
      </c>
      <c r="I31" s="23">
        <v>3200</v>
      </c>
      <c r="J31" s="24"/>
      <c r="K31" s="24"/>
      <c r="L31" s="24"/>
      <c r="M31" s="24"/>
      <c r="N31" s="24">
        <v>4000</v>
      </c>
      <c r="O31" s="24">
        <v>2000</v>
      </c>
      <c r="P31" s="24"/>
      <c r="Q31" s="25">
        <f>I31+J31+N31+O31</f>
        <v>9200</v>
      </c>
    </row>
    <row r="32" spans="1:17" ht="12.75" hidden="1">
      <c r="A32" s="26" t="s">
        <v>49</v>
      </c>
      <c r="B32" s="22">
        <v>182</v>
      </c>
      <c r="C32" s="22">
        <v>1</v>
      </c>
      <c r="D32" s="27" t="s">
        <v>50</v>
      </c>
      <c r="E32" s="27" t="s">
        <v>51</v>
      </c>
      <c r="F32" s="27" t="s">
        <v>52</v>
      </c>
      <c r="G32" s="27" t="s">
        <v>53</v>
      </c>
      <c r="H32" s="27" t="s">
        <v>54</v>
      </c>
      <c r="I32" s="23"/>
      <c r="J32" s="24"/>
      <c r="K32" s="24"/>
      <c r="L32" s="24"/>
      <c r="M32" s="24"/>
      <c r="N32" s="24"/>
      <c r="O32" s="24"/>
      <c r="P32" s="24"/>
      <c r="Q32" s="25">
        <f>I32+J32</f>
        <v>0</v>
      </c>
    </row>
    <row r="33" spans="1:17" ht="12.75">
      <c r="A33" s="21" t="s">
        <v>55</v>
      </c>
      <c r="B33" s="22"/>
      <c r="C33" s="22"/>
      <c r="D33" s="22"/>
      <c r="E33" s="22"/>
      <c r="F33" s="22"/>
      <c r="G33" s="22"/>
      <c r="H33" s="22"/>
      <c r="I33" s="20">
        <f>I34+I35+I38+I36+I37+I43</f>
        <v>14722.2</v>
      </c>
      <c r="J33" s="20">
        <f>J34+J35+J38+J36+J37+J43</f>
        <v>0</v>
      </c>
      <c r="K33" s="20">
        <f>K34+K35+K38+K36+K37+K43</f>
        <v>0</v>
      </c>
      <c r="L33" s="20">
        <f>L34+L35+L38+L36+L37+L43</f>
        <v>0</v>
      </c>
      <c r="M33" s="20">
        <f>M34+M35+M38+M36+M37+M43</f>
        <v>0</v>
      </c>
      <c r="N33" s="20">
        <f>N34+N35+N38+N36+N37+N43+N44+N52</f>
        <v>7000</v>
      </c>
      <c r="O33" s="20">
        <f>O34+O35+O38+O36+O37+O43+O44+O52</f>
        <v>4775.9</v>
      </c>
      <c r="P33" s="20"/>
      <c r="Q33" s="20">
        <f>Q34+Q35+Q38+Q36+Q37+Q43+Q44+Q52</f>
        <v>26498.1</v>
      </c>
    </row>
    <row r="34" spans="1:17" ht="56.25">
      <c r="A34" s="21" t="s">
        <v>56</v>
      </c>
      <c r="B34" s="22" t="s">
        <v>57</v>
      </c>
      <c r="C34" s="22">
        <v>1</v>
      </c>
      <c r="D34" s="22">
        <v>11</v>
      </c>
      <c r="E34" s="22" t="s">
        <v>58</v>
      </c>
      <c r="F34" s="22" t="s">
        <v>29</v>
      </c>
      <c r="G34" s="22" t="s">
        <v>22</v>
      </c>
      <c r="H34" s="22">
        <v>120</v>
      </c>
      <c r="I34" s="23">
        <v>5033.8</v>
      </c>
      <c r="J34" s="24"/>
      <c r="K34" s="24"/>
      <c r="L34" s="24"/>
      <c r="M34" s="24"/>
      <c r="N34" s="24"/>
      <c r="O34" s="24"/>
      <c r="P34" s="24"/>
      <c r="Q34" s="25">
        <f>I34+J34</f>
        <v>5033.8</v>
      </c>
    </row>
    <row r="35" spans="1:17" ht="56.25">
      <c r="A35" s="21" t="s">
        <v>59</v>
      </c>
      <c r="B35" s="22" t="s">
        <v>57</v>
      </c>
      <c r="C35" s="22">
        <v>1</v>
      </c>
      <c r="D35" s="22">
        <v>11</v>
      </c>
      <c r="E35" s="22" t="s">
        <v>60</v>
      </c>
      <c r="F35" s="22" t="s">
        <v>29</v>
      </c>
      <c r="G35" s="22" t="s">
        <v>22</v>
      </c>
      <c r="H35" s="22">
        <v>120</v>
      </c>
      <c r="I35" s="23">
        <v>2500</v>
      </c>
      <c r="J35" s="24"/>
      <c r="K35" s="24"/>
      <c r="L35" s="24"/>
      <c r="M35" s="24"/>
      <c r="N35" s="24"/>
      <c r="O35" s="24"/>
      <c r="P35" s="24"/>
      <c r="Q35" s="25">
        <f>I35+J35</f>
        <v>2500</v>
      </c>
    </row>
    <row r="36" spans="1:17" ht="67.5">
      <c r="A36" s="21" t="s">
        <v>61</v>
      </c>
      <c r="B36" s="27" t="s">
        <v>62</v>
      </c>
      <c r="C36" s="27" t="s">
        <v>63</v>
      </c>
      <c r="D36" s="27" t="s">
        <v>64</v>
      </c>
      <c r="E36" s="27" t="s">
        <v>65</v>
      </c>
      <c r="F36" s="27" t="s">
        <v>66</v>
      </c>
      <c r="G36" s="27" t="s">
        <v>67</v>
      </c>
      <c r="H36" s="27" t="s">
        <v>68</v>
      </c>
      <c r="I36" s="23">
        <v>300</v>
      </c>
      <c r="J36" s="24"/>
      <c r="K36" s="24"/>
      <c r="L36" s="24"/>
      <c r="M36" s="24"/>
      <c r="N36" s="24"/>
      <c r="O36" s="24"/>
      <c r="P36" s="24"/>
      <c r="Q36" s="25">
        <f>I36+J36</f>
        <v>300</v>
      </c>
    </row>
    <row r="37" spans="1:17" ht="45">
      <c r="A37" s="21" t="s">
        <v>69</v>
      </c>
      <c r="B37" s="27" t="s">
        <v>62</v>
      </c>
      <c r="C37" s="27" t="s">
        <v>63</v>
      </c>
      <c r="D37" s="27" t="s">
        <v>64</v>
      </c>
      <c r="E37" s="27" t="s">
        <v>70</v>
      </c>
      <c r="F37" s="27" t="s">
        <v>66</v>
      </c>
      <c r="G37" s="27" t="s">
        <v>67</v>
      </c>
      <c r="H37" s="27" t="s">
        <v>68</v>
      </c>
      <c r="I37" s="23">
        <v>30</v>
      </c>
      <c r="J37" s="24"/>
      <c r="K37" s="24"/>
      <c r="L37" s="24"/>
      <c r="M37" s="24"/>
      <c r="N37" s="24"/>
      <c r="O37" s="24"/>
      <c r="P37" s="24"/>
      <c r="Q37" s="25">
        <f>I37+J37</f>
        <v>30</v>
      </c>
    </row>
    <row r="38" spans="1:17" ht="22.5">
      <c r="A38" s="21" t="s">
        <v>71</v>
      </c>
      <c r="B38" s="22">
        <v>498</v>
      </c>
      <c r="C38" s="22">
        <v>1</v>
      </c>
      <c r="D38" s="22">
        <v>12</v>
      </c>
      <c r="E38" s="22" t="s">
        <v>72</v>
      </c>
      <c r="F38" s="22" t="s">
        <v>21</v>
      </c>
      <c r="G38" s="22" t="s">
        <v>22</v>
      </c>
      <c r="H38" s="22">
        <v>120</v>
      </c>
      <c r="I38" s="23">
        <v>2858.4</v>
      </c>
      <c r="J38" s="24"/>
      <c r="K38" s="24"/>
      <c r="L38" s="24"/>
      <c r="M38" s="24"/>
      <c r="N38" s="24"/>
      <c r="O38" s="24">
        <v>529</v>
      </c>
      <c r="P38" s="24"/>
      <c r="Q38" s="25">
        <f>I38+J38+O38</f>
        <v>3387.4</v>
      </c>
    </row>
    <row r="39" spans="1:17" ht="22.5">
      <c r="A39" s="21" t="s">
        <v>73</v>
      </c>
      <c r="B39" s="22" t="s">
        <v>57</v>
      </c>
      <c r="C39" s="22">
        <v>1</v>
      </c>
      <c r="D39" s="22">
        <v>14</v>
      </c>
      <c r="E39" s="22" t="s">
        <v>74</v>
      </c>
      <c r="F39" s="22" t="s">
        <v>29</v>
      </c>
      <c r="G39" s="22" t="s">
        <v>22</v>
      </c>
      <c r="H39" s="22">
        <v>410</v>
      </c>
      <c r="I39" s="23"/>
      <c r="J39" s="24"/>
      <c r="K39" s="24"/>
      <c r="L39" s="24"/>
      <c r="M39" s="24"/>
      <c r="N39" s="24"/>
      <c r="O39" s="24"/>
      <c r="P39" s="24"/>
      <c r="Q39" s="25">
        <f>I39+J39</f>
        <v>0</v>
      </c>
    </row>
    <row r="40" spans="1:17" ht="33.75">
      <c r="A40" s="21" t="s">
        <v>75</v>
      </c>
      <c r="B40" s="22" t="s">
        <v>57</v>
      </c>
      <c r="C40" s="22">
        <v>1</v>
      </c>
      <c r="D40" s="22">
        <v>14</v>
      </c>
      <c r="E40" s="22" t="s">
        <v>76</v>
      </c>
      <c r="F40" s="22">
        <v>10</v>
      </c>
      <c r="G40" s="22">
        <v>0</v>
      </c>
      <c r="H40" s="22">
        <v>430</v>
      </c>
      <c r="I40" s="23"/>
      <c r="J40" s="24"/>
      <c r="K40" s="24"/>
      <c r="L40" s="24"/>
      <c r="M40" s="24"/>
      <c r="N40" s="24"/>
      <c r="O40" s="24"/>
      <c r="P40" s="24"/>
      <c r="Q40" s="25">
        <f>I40+J40</f>
        <v>0</v>
      </c>
    </row>
    <row r="41" spans="1:17" ht="56.25">
      <c r="A41" s="21" t="s">
        <v>77</v>
      </c>
      <c r="B41" s="22" t="s">
        <v>57</v>
      </c>
      <c r="C41" s="22">
        <v>1</v>
      </c>
      <c r="D41" s="22">
        <v>14</v>
      </c>
      <c r="E41" s="22" t="s">
        <v>78</v>
      </c>
      <c r="F41" s="22" t="s">
        <v>29</v>
      </c>
      <c r="G41" s="22" t="s">
        <v>22</v>
      </c>
      <c r="H41" s="22">
        <v>430</v>
      </c>
      <c r="I41" s="23"/>
      <c r="J41" s="24"/>
      <c r="K41" s="24"/>
      <c r="L41" s="24"/>
      <c r="M41" s="24"/>
      <c r="N41" s="24"/>
      <c r="O41" s="24"/>
      <c r="P41" s="24"/>
      <c r="Q41" s="25">
        <f>I41+J41</f>
        <v>0</v>
      </c>
    </row>
    <row r="42" spans="1:17" ht="78.75">
      <c r="A42" s="21" t="s">
        <v>79</v>
      </c>
      <c r="B42" s="22" t="s">
        <v>57</v>
      </c>
      <c r="C42" s="22">
        <v>1</v>
      </c>
      <c r="D42" s="22">
        <v>14</v>
      </c>
      <c r="E42" s="22" t="s">
        <v>25</v>
      </c>
      <c r="F42" s="22" t="s">
        <v>29</v>
      </c>
      <c r="G42" s="22" t="s">
        <v>22</v>
      </c>
      <c r="H42" s="22">
        <v>410</v>
      </c>
      <c r="I42" s="23"/>
      <c r="J42" s="24"/>
      <c r="K42" s="24"/>
      <c r="L42" s="24"/>
      <c r="M42" s="24"/>
      <c r="N42" s="24"/>
      <c r="O42" s="24"/>
      <c r="P42" s="24"/>
      <c r="Q42" s="25">
        <f>I42+J42</f>
        <v>0</v>
      </c>
    </row>
    <row r="43" spans="1:17" ht="67.5">
      <c r="A43" s="21" t="s">
        <v>80</v>
      </c>
      <c r="B43" s="27" t="s">
        <v>62</v>
      </c>
      <c r="C43" s="27">
        <v>1</v>
      </c>
      <c r="D43" s="27">
        <v>14</v>
      </c>
      <c r="E43" s="27" t="s">
        <v>81</v>
      </c>
      <c r="F43" s="27" t="s">
        <v>66</v>
      </c>
      <c r="G43" s="27" t="s">
        <v>67</v>
      </c>
      <c r="H43" s="27" t="s">
        <v>82</v>
      </c>
      <c r="I43" s="23">
        <v>4000</v>
      </c>
      <c r="J43" s="24"/>
      <c r="K43" s="24"/>
      <c r="L43" s="24"/>
      <c r="M43" s="24"/>
      <c r="N43" s="24"/>
      <c r="O43" s="24">
        <v>1400</v>
      </c>
      <c r="P43" s="24"/>
      <c r="Q43" s="25">
        <f>I43+J43+O43</f>
        <v>5400</v>
      </c>
    </row>
    <row r="44" spans="1:17" ht="12.75">
      <c r="A44" s="21" t="s">
        <v>83</v>
      </c>
      <c r="B44" s="22" t="s">
        <v>57</v>
      </c>
      <c r="C44" s="22">
        <v>1</v>
      </c>
      <c r="D44" s="22">
        <v>16</v>
      </c>
      <c r="E44" s="22" t="s">
        <v>84</v>
      </c>
      <c r="F44" s="22" t="s">
        <v>85</v>
      </c>
      <c r="G44" s="22" t="s">
        <v>22</v>
      </c>
      <c r="H44" s="22">
        <v>140</v>
      </c>
      <c r="I44" s="23">
        <f aca="true" t="shared" si="2" ref="I44:N44">I45+I46+I47</f>
        <v>0</v>
      </c>
      <c r="J44" s="23">
        <f t="shared" si="2"/>
        <v>0</v>
      </c>
      <c r="K44" s="23">
        <f t="shared" si="2"/>
        <v>0</v>
      </c>
      <c r="L44" s="23">
        <f t="shared" si="2"/>
        <v>0</v>
      </c>
      <c r="M44" s="23">
        <f t="shared" si="2"/>
        <v>0</v>
      </c>
      <c r="N44" s="23">
        <f t="shared" si="2"/>
        <v>5400</v>
      </c>
      <c r="O44" s="23">
        <f>O45+O46+O47+O48+O49+O50+O51</f>
        <v>2846.9</v>
      </c>
      <c r="P44" s="23"/>
      <c r="Q44" s="23">
        <f>Q45+Q46+Q47+Q48+Q49+Q50+Q51</f>
        <v>8246.9</v>
      </c>
    </row>
    <row r="45" spans="1:17" ht="33.75">
      <c r="A45" s="21" t="s">
        <v>86</v>
      </c>
      <c r="B45" s="22" t="s">
        <v>57</v>
      </c>
      <c r="C45" s="22">
        <v>1</v>
      </c>
      <c r="D45" s="22">
        <v>16</v>
      </c>
      <c r="E45" s="22">
        <v>25050</v>
      </c>
      <c r="F45" s="22" t="s">
        <v>21</v>
      </c>
      <c r="G45" s="22" t="s">
        <v>22</v>
      </c>
      <c r="H45" s="22">
        <v>140</v>
      </c>
      <c r="I45" s="23"/>
      <c r="J45" s="24"/>
      <c r="K45" s="24"/>
      <c r="L45" s="24"/>
      <c r="M45" s="24"/>
      <c r="N45" s="24"/>
      <c r="O45" s="24">
        <v>226</v>
      </c>
      <c r="P45" s="24"/>
      <c r="Q45" s="25">
        <f>I45+J45+O45</f>
        <v>226</v>
      </c>
    </row>
    <row r="46" spans="1:17" ht="22.5">
      <c r="A46" s="21" t="s">
        <v>87</v>
      </c>
      <c r="B46" s="22" t="s">
        <v>57</v>
      </c>
      <c r="C46" s="22">
        <v>1</v>
      </c>
      <c r="D46" s="22">
        <v>16</v>
      </c>
      <c r="E46" s="22">
        <v>30000</v>
      </c>
      <c r="F46" s="22" t="s">
        <v>21</v>
      </c>
      <c r="G46" s="22" t="s">
        <v>22</v>
      </c>
      <c r="H46" s="22">
        <v>140</v>
      </c>
      <c r="I46" s="23"/>
      <c r="J46" s="24"/>
      <c r="K46" s="24"/>
      <c r="L46" s="24"/>
      <c r="M46" s="24"/>
      <c r="N46" s="24">
        <v>3162</v>
      </c>
      <c r="O46" s="24">
        <v>984.2</v>
      </c>
      <c r="P46" s="24"/>
      <c r="Q46" s="25">
        <f>I46+J46+K46+L46+M46+N46+O46</f>
        <v>4146.2</v>
      </c>
    </row>
    <row r="47" spans="1:17" ht="33.75">
      <c r="A47" s="21" t="s">
        <v>88</v>
      </c>
      <c r="B47" s="22" t="s">
        <v>57</v>
      </c>
      <c r="C47" s="22">
        <v>1</v>
      </c>
      <c r="D47" s="22">
        <v>16</v>
      </c>
      <c r="E47" s="22">
        <v>90050</v>
      </c>
      <c r="F47" s="22" t="s">
        <v>29</v>
      </c>
      <c r="G47" s="22" t="s">
        <v>22</v>
      </c>
      <c r="H47" s="22">
        <v>140</v>
      </c>
      <c r="I47" s="23"/>
      <c r="J47" s="24"/>
      <c r="K47" s="24"/>
      <c r="L47" s="24"/>
      <c r="M47" s="24"/>
      <c r="N47" s="24">
        <v>2238</v>
      </c>
      <c r="O47" s="24">
        <v>543.1</v>
      </c>
      <c r="P47" s="24"/>
      <c r="Q47" s="25">
        <f>I47+J47+K47+L47+M47+N47+O47</f>
        <v>2781.1</v>
      </c>
    </row>
    <row r="48" spans="1:17" ht="33.75">
      <c r="A48" s="21" t="s">
        <v>89</v>
      </c>
      <c r="B48" s="22" t="s">
        <v>57</v>
      </c>
      <c r="C48" s="22">
        <v>1</v>
      </c>
      <c r="D48" s="22">
        <v>16</v>
      </c>
      <c r="E48" s="27" t="s">
        <v>90</v>
      </c>
      <c r="F48" s="27" t="s">
        <v>91</v>
      </c>
      <c r="G48" s="27" t="s">
        <v>67</v>
      </c>
      <c r="H48" s="22">
        <v>140</v>
      </c>
      <c r="I48" s="23"/>
      <c r="J48" s="24"/>
      <c r="K48" s="24"/>
      <c r="L48" s="24"/>
      <c r="M48" s="24"/>
      <c r="N48" s="24"/>
      <c r="O48" s="24">
        <v>40.7</v>
      </c>
      <c r="P48" s="24"/>
      <c r="Q48" s="25">
        <f>O48</f>
        <v>40.7</v>
      </c>
    </row>
    <row r="49" spans="1:17" ht="22.5">
      <c r="A49" s="21" t="s">
        <v>92</v>
      </c>
      <c r="B49" s="22" t="s">
        <v>57</v>
      </c>
      <c r="C49" s="22">
        <v>1</v>
      </c>
      <c r="D49" s="22">
        <v>16</v>
      </c>
      <c r="E49" s="27" t="s">
        <v>93</v>
      </c>
      <c r="F49" s="27" t="s">
        <v>91</v>
      </c>
      <c r="G49" s="27" t="s">
        <v>67</v>
      </c>
      <c r="H49" s="22">
        <v>140</v>
      </c>
      <c r="I49" s="23"/>
      <c r="J49" s="24"/>
      <c r="K49" s="24"/>
      <c r="L49" s="24"/>
      <c r="M49" s="24"/>
      <c r="N49" s="24"/>
      <c r="O49" s="24">
        <v>457.3</v>
      </c>
      <c r="P49" s="24"/>
      <c r="Q49" s="25">
        <f>O49</f>
        <v>457.3</v>
      </c>
    </row>
    <row r="50" spans="1:17" ht="22.5">
      <c r="A50" s="21" t="s">
        <v>94</v>
      </c>
      <c r="B50" s="22" t="s">
        <v>57</v>
      </c>
      <c r="C50" s="22">
        <v>1</v>
      </c>
      <c r="D50" s="22">
        <v>16</v>
      </c>
      <c r="E50" s="27" t="s">
        <v>95</v>
      </c>
      <c r="F50" s="27" t="s">
        <v>91</v>
      </c>
      <c r="G50" s="27" t="s">
        <v>67</v>
      </c>
      <c r="H50" s="22">
        <v>140</v>
      </c>
      <c r="I50" s="23"/>
      <c r="J50" s="24"/>
      <c r="K50" s="24"/>
      <c r="L50" s="24"/>
      <c r="M50" s="24"/>
      <c r="N50" s="24"/>
      <c r="O50" s="24">
        <v>135.7</v>
      </c>
      <c r="P50" s="24"/>
      <c r="Q50" s="25">
        <f>O50</f>
        <v>135.7</v>
      </c>
    </row>
    <row r="51" spans="1:17" ht="56.25">
      <c r="A51" s="21" t="s">
        <v>96</v>
      </c>
      <c r="B51" s="22" t="s">
        <v>57</v>
      </c>
      <c r="C51" s="22">
        <v>1</v>
      </c>
      <c r="D51" s="22">
        <v>16</v>
      </c>
      <c r="E51" s="27" t="s">
        <v>97</v>
      </c>
      <c r="F51" s="27" t="s">
        <v>91</v>
      </c>
      <c r="G51" s="27" t="s">
        <v>67</v>
      </c>
      <c r="H51" s="22">
        <v>140</v>
      </c>
      <c r="I51" s="23"/>
      <c r="J51" s="24"/>
      <c r="K51" s="24"/>
      <c r="L51" s="24"/>
      <c r="M51" s="24"/>
      <c r="N51" s="24"/>
      <c r="O51" s="24">
        <v>459.9</v>
      </c>
      <c r="P51" s="24"/>
      <c r="Q51" s="25">
        <f>O51</f>
        <v>459.9</v>
      </c>
    </row>
    <row r="52" spans="1:17" ht="22.5">
      <c r="A52" s="21" t="s">
        <v>98</v>
      </c>
      <c r="B52" s="22" t="s">
        <v>57</v>
      </c>
      <c r="C52" s="22">
        <v>1</v>
      </c>
      <c r="D52" s="22">
        <v>17</v>
      </c>
      <c r="E52" s="22">
        <v>5050</v>
      </c>
      <c r="F52" s="22" t="s">
        <v>29</v>
      </c>
      <c r="G52" s="22" t="s">
        <v>22</v>
      </c>
      <c r="H52" s="22">
        <v>180</v>
      </c>
      <c r="I52" s="23"/>
      <c r="J52" s="24"/>
      <c r="K52" s="24"/>
      <c r="L52" s="24"/>
      <c r="M52" s="24"/>
      <c r="N52" s="24">
        <v>1600</v>
      </c>
      <c r="O52" s="24"/>
      <c r="P52" s="24"/>
      <c r="Q52" s="25">
        <f>I52+J52+N52</f>
        <v>1600</v>
      </c>
    </row>
    <row r="53" spans="1:18" ht="12.75">
      <c r="A53" s="18" t="s">
        <v>99</v>
      </c>
      <c r="B53" s="28"/>
      <c r="C53" s="28"/>
      <c r="D53" s="28"/>
      <c r="E53" s="28"/>
      <c r="F53" s="28"/>
      <c r="G53" s="28"/>
      <c r="H53" s="28"/>
      <c r="I53" s="20">
        <f aca="true" t="shared" si="3" ref="I53:Q53">I54+I57+I79+I114</f>
        <v>928383.698</v>
      </c>
      <c r="J53" s="20">
        <f t="shared" si="3"/>
        <v>21602.052</v>
      </c>
      <c r="K53" s="20">
        <f t="shared" si="3"/>
        <v>15711.22</v>
      </c>
      <c r="L53" s="20">
        <f t="shared" si="3"/>
        <v>23172.1</v>
      </c>
      <c r="M53" s="20">
        <f t="shared" si="3"/>
        <v>2621</v>
      </c>
      <c r="N53" s="20">
        <f t="shared" si="3"/>
        <v>-49000.429000000004</v>
      </c>
      <c r="O53" s="20">
        <f t="shared" si="3"/>
        <v>10230.745480000001</v>
      </c>
      <c r="P53" s="20">
        <f t="shared" si="3"/>
        <v>42999.507000000005</v>
      </c>
      <c r="Q53" s="20">
        <f t="shared" si="3"/>
        <v>995719.8934800001</v>
      </c>
      <c r="R53" s="29"/>
    </row>
    <row r="54" spans="1:17" ht="22.5">
      <c r="A54" s="30" t="s">
        <v>100</v>
      </c>
      <c r="B54" s="31" t="s">
        <v>62</v>
      </c>
      <c r="C54" s="31" t="s">
        <v>101</v>
      </c>
      <c r="D54" s="31" t="s">
        <v>102</v>
      </c>
      <c r="E54" s="31" t="s">
        <v>103</v>
      </c>
      <c r="F54" s="31" t="s">
        <v>52</v>
      </c>
      <c r="G54" s="31" t="s">
        <v>67</v>
      </c>
      <c r="H54" s="31" t="s">
        <v>104</v>
      </c>
      <c r="I54" s="32">
        <f aca="true" t="shared" si="4" ref="I54:Q54">I55+I56</f>
        <v>247493</v>
      </c>
      <c r="J54" s="32">
        <f t="shared" si="4"/>
        <v>0</v>
      </c>
      <c r="K54" s="32">
        <f t="shared" si="4"/>
        <v>0</v>
      </c>
      <c r="L54" s="32">
        <f t="shared" si="4"/>
        <v>8397.6</v>
      </c>
      <c r="M54" s="32">
        <f t="shared" si="4"/>
        <v>0</v>
      </c>
      <c r="N54" s="32">
        <f t="shared" si="4"/>
        <v>0</v>
      </c>
      <c r="O54" s="32">
        <f t="shared" si="4"/>
        <v>8676.6</v>
      </c>
      <c r="P54" s="32">
        <f t="shared" si="4"/>
        <v>1832.5</v>
      </c>
      <c r="Q54" s="32">
        <f t="shared" si="4"/>
        <v>266399.7</v>
      </c>
    </row>
    <row r="55" spans="1:17" ht="22.5">
      <c r="A55" s="33" t="s">
        <v>105</v>
      </c>
      <c r="B55" s="34" t="s">
        <v>62</v>
      </c>
      <c r="C55" s="34" t="s">
        <v>101</v>
      </c>
      <c r="D55" s="34" t="s">
        <v>102</v>
      </c>
      <c r="E55" s="34" t="s">
        <v>106</v>
      </c>
      <c r="F55" s="34" t="s">
        <v>66</v>
      </c>
      <c r="G55" s="34" t="s">
        <v>67</v>
      </c>
      <c r="H55" s="34" t="s">
        <v>104</v>
      </c>
      <c r="I55" s="35">
        <v>247493</v>
      </c>
      <c r="J55" s="24"/>
      <c r="K55" s="24"/>
      <c r="L55" s="24"/>
      <c r="M55" s="24"/>
      <c r="N55" s="24"/>
      <c r="O55" s="24"/>
      <c r="P55" s="24"/>
      <c r="Q55" s="25">
        <f>I55+J55</f>
        <v>247493</v>
      </c>
    </row>
    <row r="56" spans="1:17" ht="22.5">
      <c r="A56" s="36" t="s">
        <v>107</v>
      </c>
      <c r="B56" s="34" t="s">
        <v>62</v>
      </c>
      <c r="C56" s="34" t="s">
        <v>101</v>
      </c>
      <c r="D56" s="34" t="s">
        <v>102</v>
      </c>
      <c r="E56" s="34" t="s">
        <v>108</v>
      </c>
      <c r="F56" s="34" t="s">
        <v>66</v>
      </c>
      <c r="G56" s="34" t="s">
        <v>67</v>
      </c>
      <c r="H56" s="34" t="s">
        <v>104</v>
      </c>
      <c r="I56" s="35"/>
      <c r="J56" s="24"/>
      <c r="K56" s="24"/>
      <c r="L56" s="24">
        <f>162.6+8235</f>
        <v>8397.6</v>
      </c>
      <c r="M56" s="24"/>
      <c r="N56" s="24"/>
      <c r="O56" s="24">
        <v>8676.6</v>
      </c>
      <c r="P56" s="24">
        <f>38.3+1794.2</f>
        <v>1832.5</v>
      </c>
      <c r="Q56" s="25">
        <f>L56+O56+P56</f>
        <v>18906.7</v>
      </c>
    </row>
    <row r="57" spans="1:17" ht="33.75">
      <c r="A57" s="18" t="s">
        <v>109</v>
      </c>
      <c r="B57" s="31" t="s">
        <v>62</v>
      </c>
      <c r="C57" s="31" t="s">
        <v>101</v>
      </c>
      <c r="D57" s="31" t="s">
        <v>102</v>
      </c>
      <c r="E57" s="31" t="s">
        <v>110</v>
      </c>
      <c r="F57" s="31" t="s">
        <v>52</v>
      </c>
      <c r="G57" s="31" t="s">
        <v>67</v>
      </c>
      <c r="H57" s="31" t="s">
        <v>104</v>
      </c>
      <c r="I57" s="32">
        <f>I58+I59+I60+I63</f>
        <v>0</v>
      </c>
      <c r="J57" s="32">
        <f aca="true" t="shared" si="5" ref="J57:O57">J58+J59+J60+J63+J62</f>
        <v>6982.8</v>
      </c>
      <c r="K57" s="32">
        <f t="shared" si="5"/>
        <v>7527.69</v>
      </c>
      <c r="L57" s="32">
        <f t="shared" si="5"/>
        <v>14415.5</v>
      </c>
      <c r="M57" s="32">
        <f t="shared" si="5"/>
        <v>2650</v>
      </c>
      <c r="N57" s="32">
        <f t="shared" si="5"/>
        <v>2636</v>
      </c>
      <c r="O57" s="32">
        <f t="shared" si="5"/>
        <v>190</v>
      </c>
      <c r="P57" s="32">
        <f>P58+P59+P60+P63+P62+P61</f>
        <v>783.0699999999999</v>
      </c>
      <c r="Q57" s="32">
        <f>Q58+Q59+Q60+Q63+Q62+Q61</f>
        <v>33275.06</v>
      </c>
    </row>
    <row r="58" spans="1:17" ht="22.5" hidden="1">
      <c r="A58" s="33" t="s">
        <v>111</v>
      </c>
      <c r="B58" s="34" t="s">
        <v>62</v>
      </c>
      <c r="C58" s="34" t="s">
        <v>101</v>
      </c>
      <c r="D58" s="34" t="s">
        <v>102</v>
      </c>
      <c r="E58" s="34" t="s">
        <v>112</v>
      </c>
      <c r="F58" s="34" t="s">
        <v>66</v>
      </c>
      <c r="G58" s="34" t="s">
        <v>67</v>
      </c>
      <c r="H58" s="34" t="s">
        <v>104</v>
      </c>
      <c r="I58" s="35"/>
      <c r="J58" s="24"/>
      <c r="K58" s="24"/>
      <c r="L58" s="24"/>
      <c r="M58" s="24"/>
      <c r="N58" s="24"/>
      <c r="O58" s="24"/>
      <c r="P58" s="24"/>
      <c r="Q58" s="25">
        <f>I58+J58</f>
        <v>0</v>
      </c>
    </row>
    <row r="59" spans="1:17" ht="67.5" hidden="1">
      <c r="A59" s="33" t="s">
        <v>113</v>
      </c>
      <c r="B59" s="34" t="s">
        <v>62</v>
      </c>
      <c r="C59" s="34" t="s">
        <v>101</v>
      </c>
      <c r="D59" s="34" t="s">
        <v>102</v>
      </c>
      <c r="E59" s="34" t="s">
        <v>114</v>
      </c>
      <c r="F59" s="34" t="s">
        <v>66</v>
      </c>
      <c r="G59" s="34" t="s">
        <v>67</v>
      </c>
      <c r="H59" s="34" t="s">
        <v>104</v>
      </c>
      <c r="I59" s="32"/>
      <c r="J59" s="24"/>
      <c r="K59" s="24"/>
      <c r="L59" s="24"/>
      <c r="M59" s="24"/>
      <c r="N59" s="24"/>
      <c r="O59" s="24"/>
      <c r="P59" s="24"/>
      <c r="Q59" s="25">
        <f>I59+J59</f>
        <v>0</v>
      </c>
    </row>
    <row r="60" spans="1:17" ht="22.5" hidden="1">
      <c r="A60" s="33" t="s">
        <v>115</v>
      </c>
      <c r="B60" s="34" t="s">
        <v>62</v>
      </c>
      <c r="C60" s="34" t="s">
        <v>101</v>
      </c>
      <c r="D60" s="34" t="s">
        <v>102</v>
      </c>
      <c r="E60" s="34" t="s">
        <v>116</v>
      </c>
      <c r="F60" s="34" t="s">
        <v>66</v>
      </c>
      <c r="G60" s="34" t="s">
        <v>67</v>
      </c>
      <c r="H60" s="34" t="s">
        <v>104</v>
      </c>
      <c r="I60" s="32"/>
      <c r="J60" s="24"/>
      <c r="K60" s="24"/>
      <c r="L60" s="24"/>
      <c r="M60" s="24"/>
      <c r="N60" s="24"/>
      <c r="O60" s="24"/>
      <c r="P60" s="24"/>
      <c r="Q60" s="25">
        <f>I60+J60</f>
        <v>0</v>
      </c>
    </row>
    <row r="61" spans="1:17" ht="33.75">
      <c r="A61" s="33" t="s">
        <v>556</v>
      </c>
      <c r="B61" s="34" t="s">
        <v>62</v>
      </c>
      <c r="C61" s="34" t="s">
        <v>101</v>
      </c>
      <c r="D61" s="34" t="s">
        <v>102</v>
      </c>
      <c r="E61" s="34" t="s">
        <v>553</v>
      </c>
      <c r="F61" s="34" t="s">
        <v>66</v>
      </c>
      <c r="G61" s="34" t="s">
        <v>67</v>
      </c>
      <c r="H61" s="34" t="s">
        <v>104</v>
      </c>
      <c r="I61" s="32"/>
      <c r="J61" s="24"/>
      <c r="K61" s="24"/>
      <c r="L61" s="24"/>
      <c r="M61" s="24"/>
      <c r="N61" s="24"/>
      <c r="O61" s="24"/>
      <c r="P61" s="24">
        <f>545.27+161.5</f>
        <v>706.77</v>
      </c>
      <c r="Q61" s="25">
        <f>P61</f>
        <v>706.77</v>
      </c>
    </row>
    <row r="62" spans="1:17" ht="22.5">
      <c r="A62" s="33" t="s">
        <v>117</v>
      </c>
      <c r="B62" s="34" t="s">
        <v>62</v>
      </c>
      <c r="C62" s="34" t="s">
        <v>101</v>
      </c>
      <c r="D62" s="34" t="s">
        <v>102</v>
      </c>
      <c r="E62" s="34" t="s">
        <v>118</v>
      </c>
      <c r="F62" s="34" t="s">
        <v>66</v>
      </c>
      <c r="G62" s="34" t="s">
        <v>119</v>
      </c>
      <c r="H62" s="34" t="s">
        <v>104</v>
      </c>
      <c r="I62" s="32"/>
      <c r="J62" s="24">
        <v>300</v>
      </c>
      <c r="K62" s="24"/>
      <c r="L62" s="24"/>
      <c r="M62" s="24"/>
      <c r="N62" s="24"/>
      <c r="O62" s="24"/>
      <c r="P62" s="24"/>
      <c r="Q62" s="24">
        <f>I62+J62</f>
        <v>300</v>
      </c>
    </row>
    <row r="63" spans="1:17" ht="12.75">
      <c r="A63" s="30" t="s">
        <v>120</v>
      </c>
      <c r="B63" s="34" t="s">
        <v>62</v>
      </c>
      <c r="C63" s="34" t="s">
        <v>101</v>
      </c>
      <c r="D63" s="34" t="s">
        <v>102</v>
      </c>
      <c r="E63" s="34" t="s">
        <v>121</v>
      </c>
      <c r="F63" s="34" t="s">
        <v>66</v>
      </c>
      <c r="G63" s="34" t="s">
        <v>67</v>
      </c>
      <c r="H63" s="34" t="s">
        <v>104</v>
      </c>
      <c r="I63" s="35">
        <f>I66+I67+I68+I69+I70+I71+I72+I73+I74+I75+I76+I77+I78</f>
        <v>0</v>
      </c>
      <c r="J63" s="24">
        <f>J66+J67+J68+J69+J70+J71+J72+J73+J74+J75+J76+J77+J78</f>
        <v>6682.8</v>
      </c>
      <c r="K63" s="24">
        <f>K75+K66+K71</f>
        <v>7527.69</v>
      </c>
      <c r="L63" s="24">
        <f>L75+L66+L71+L68+L72+L70</f>
        <v>14415.5</v>
      </c>
      <c r="M63" s="24">
        <f>M75+M66+M71+M68+M72+M70+M74</f>
        <v>2650</v>
      </c>
      <c r="N63" s="24">
        <f>N66+N67+N68+N69+N70+N71+N72+N73+N74+N75+N76+N77+N78+N117</f>
        <v>2636</v>
      </c>
      <c r="O63" s="24">
        <f>O66+O67+O68+O69+O70+O71+O72+O73+O74+O75+O76+O77+O78+O117+O65</f>
        <v>190</v>
      </c>
      <c r="P63" s="24">
        <f>P66+P67+P68+P69+P70+P71+P72+P73+P74+P75+P76+P77+P78+P117+P65</f>
        <v>76.30000000000001</v>
      </c>
      <c r="Q63" s="24">
        <f>Q66+Q67+Q68+Q69+Q70+Q71+Q72+Q73+Q74+Q75+Q76+Q77+Q78+Q65</f>
        <v>32268.29</v>
      </c>
    </row>
    <row r="64" spans="1:17" ht="12.75">
      <c r="A64" s="33" t="s">
        <v>122</v>
      </c>
      <c r="B64" s="34"/>
      <c r="C64" s="34"/>
      <c r="D64" s="34"/>
      <c r="E64" s="34"/>
      <c r="F64" s="34"/>
      <c r="G64" s="34"/>
      <c r="H64" s="34"/>
      <c r="I64" s="35"/>
      <c r="J64" s="24"/>
      <c r="K64" s="24"/>
      <c r="L64" s="24"/>
      <c r="M64" s="24"/>
      <c r="N64" s="24"/>
      <c r="O64" s="24"/>
      <c r="P64" s="24"/>
      <c r="Q64" s="24"/>
    </row>
    <row r="65" spans="1:17" ht="25.5">
      <c r="A65" s="37" t="s">
        <v>123</v>
      </c>
      <c r="B65" s="34" t="s">
        <v>62</v>
      </c>
      <c r="C65" s="34" t="s">
        <v>101</v>
      </c>
      <c r="D65" s="34" t="s">
        <v>102</v>
      </c>
      <c r="E65" s="34" t="s">
        <v>121</v>
      </c>
      <c r="F65" s="34" t="s">
        <v>66</v>
      </c>
      <c r="G65" s="34" t="s">
        <v>67</v>
      </c>
      <c r="H65" s="34" t="s">
        <v>104</v>
      </c>
      <c r="I65" s="35"/>
      <c r="J65" s="24"/>
      <c r="K65" s="24"/>
      <c r="L65" s="24"/>
      <c r="M65" s="24"/>
      <c r="N65" s="24"/>
      <c r="O65" s="24">
        <v>40</v>
      </c>
      <c r="P65" s="24"/>
      <c r="Q65" s="24">
        <f>O65</f>
        <v>40</v>
      </c>
    </row>
    <row r="66" spans="1:17" ht="22.5">
      <c r="A66" s="33" t="s">
        <v>124</v>
      </c>
      <c r="B66" s="34" t="s">
        <v>62</v>
      </c>
      <c r="C66" s="34" t="s">
        <v>101</v>
      </c>
      <c r="D66" s="34" t="s">
        <v>102</v>
      </c>
      <c r="E66" s="34" t="s">
        <v>121</v>
      </c>
      <c r="F66" s="34" t="s">
        <v>66</v>
      </c>
      <c r="G66" s="34" t="s">
        <v>125</v>
      </c>
      <c r="H66" s="34" t="s">
        <v>104</v>
      </c>
      <c r="I66" s="35"/>
      <c r="J66" s="24"/>
      <c r="K66" s="24">
        <v>6651.69</v>
      </c>
      <c r="L66" s="24"/>
      <c r="M66" s="24"/>
      <c r="N66" s="24"/>
      <c r="O66" s="24"/>
      <c r="P66" s="24"/>
      <c r="Q66" s="24">
        <f>I66+J66+K66</f>
        <v>6651.69</v>
      </c>
    </row>
    <row r="67" spans="1:17" ht="45">
      <c r="A67" s="33" t="s">
        <v>126</v>
      </c>
      <c r="B67" s="34" t="s">
        <v>62</v>
      </c>
      <c r="C67" s="34" t="s">
        <v>101</v>
      </c>
      <c r="D67" s="34" t="s">
        <v>102</v>
      </c>
      <c r="E67" s="34" t="s">
        <v>121</v>
      </c>
      <c r="F67" s="34" t="s">
        <v>66</v>
      </c>
      <c r="G67" s="34" t="s">
        <v>127</v>
      </c>
      <c r="H67" s="34" t="s">
        <v>104</v>
      </c>
      <c r="I67" s="35"/>
      <c r="J67" s="24">
        <v>3924.8</v>
      </c>
      <c r="K67" s="24"/>
      <c r="L67" s="24"/>
      <c r="M67" s="24"/>
      <c r="N67" s="24"/>
      <c r="O67" s="24"/>
      <c r="P67" s="24">
        <v>-503.66</v>
      </c>
      <c r="Q67" s="24">
        <f>I67+J67+P67</f>
        <v>3421.1400000000003</v>
      </c>
    </row>
    <row r="68" spans="1:17" ht="22.5">
      <c r="A68" s="33" t="s">
        <v>128</v>
      </c>
      <c r="B68" s="34" t="s">
        <v>62</v>
      </c>
      <c r="C68" s="34" t="s">
        <v>101</v>
      </c>
      <c r="D68" s="34" t="s">
        <v>102</v>
      </c>
      <c r="E68" s="34" t="s">
        <v>121</v>
      </c>
      <c r="F68" s="34" t="s">
        <v>66</v>
      </c>
      <c r="G68" s="34" t="s">
        <v>129</v>
      </c>
      <c r="H68" s="34" t="s">
        <v>104</v>
      </c>
      <c r="I68" s="35"/>
      <c r="J68" s="24"/>
      <c r="K68" s="24"/>
      <c r="L68" s="24">
        <v>4347</v>
      </c>
      <c r="M68" s="24"/>
      <c r="N68" s="24"/>
      <c r="O68" s="24"/>
      <c r="P68" s="24"/>
      <c r="Q68" s="24">
        <f>I68+J68+L68</f>
        <v>4347</v>
      </c>
    </row>
    <row r="69" spans="1:17" ht="45">
      <c r="A69" s="33" t="s">
        <v>130</v>
      </c>
      <c r="B69" s="34" t="s">
        <v>62</v>
      </c>
      <c r="C69" s="34" t="s">
        <v>101</v>
      </c>
      <c r="D69" s="34" t="s">
        <v>102</v>
      </c>
      <c r="E69" s="34" t="s">
        <v>121</v>
      </c>
      <c r="F69" s="34" t="s">
        <v>66</v>
      </c>
      <c r="G69" s="34" t="s">
        <v>131</v>
      </c>
      <c r="H69" s="34" t="s">
        <v>104</v>
      </c>
      <c r="I69" s="35"/>
      <c r="J69" s="24">
        <v>558</v>
      </c>
      <c r="K69" s="24"/>
      <c r="L69" s="24"/>
      <c r="M69" s="24"/>
      <c r="N69" s="24"/>
      <c r="O69" s="24"/>
      <c r="P69" s="24"/>
      <c r="Q69" s="24">
        <f>I69+J69</f>
        <v>558</v>
      </c>
    </row>
    <row r="70" spans="1:17" ht="33.75">
      <c r="A70" s="36" t="s">
        <v>132</v>
      </c>
      <c r="B70" s="34" t="s">
        <v>62</v>
      </c>
      <c r="C70" s="34" t="s">
        <v>101</v>
      </c>
      <c r="D70" s="34" t="s">
        <v>102</v>
      </c>
      <c r="E70" s="34" t="s">
        <v>121</v>
      </c>
      <c r="F70" s="34" t="s">
        <v>66</v>
      </c>
      <c r="G70" s="34" t="s">
        <v>133</v>
      </c>
      <c r="H70" s="34" t="s">
        <v>104</v>
      </c>
      <c r="I70" s="35"/>
      <c r="J70" s="24"/>
      <c r="K70" s="24"/>
      <c r="L70" s="24">
        <v>870</v>
      </c>
      <c r="M70" s="24"/>
      <c r="N70" s="24"/>
      <c r="O70" s="24"/>
      <c r="P70" s="24">
        <v>579.96</v>
      </c>
      <c r="Q70" s="24">
        <f>L70+P70</f>
        <v>1449.96</v>
      </c>
    </row>
    <row r="71" spans="1:17" ht="22.5">
      <c r="A71" s="36" t="s">
        <v>134</v>
      </c>
      <c r="B71" s="34" t="s">
        <v>62</v>
      </c>
      <c r="C71" s="34" t="s">
        <v>101</v>
      </c>
      <c r="D71" s="34" t="s">
        <v>102</v>
      </c>
      <c r="E71" s="34" t="s">
        <v>121</v>
      </c>
      <c r="F71" s="34" t="s">
        <v>66</v>
      </c>
      <c r="G71" s="34" t="s">
        <v>135</v>
      </c>
      <c r="H71" s="34" t="s">
        <v>104</v>
      </c>
      <c r="I71" s="35"/>
      <c r="J71" s="24"/>
      <c r="K71" s="24">
        <v>150</v>
      </c>
      <c r="L71" s="24"/>
      <c r="M71" s="24"/>
      <c r="N71" s="24"/>
      <c r="O71" s="24">
        <v>150</v>
      </c>
      <c r="P71" s="24"/>
      <c r="Q71" s="24">
        <f>I71+J71+K71+O71</f>
        <v>300</v>
      </c>
    </row>
    <row r="72" spans="1:17" ht="33.75">
      <c r="A72" s="33" t="s">
        <v>136</v>
      </c>
      <c r="B72" s="34" t="s">
        <v>62</v>
      </c>
      <c r="C72" s="34" t="s">
        <v>101</v>
      </c>
      <c r="D72" s="34" t="s">
        <v>102</v>
      </c>
      <c r="E72" s="34" t="s">
        <v>121</v>
      </c>
      <c r="F72" s="34" t="s">
        <v>66</v>
      </c>
      <c r="G72" s="34" t="s">
        <v>137</v>
      </c>
      <c r="H72" s="34" t="s">
        <v>104</v>
      </c>
      <c r="I72" s="35"/>
      <c r="J72" s="24"/>
      <c r="K72" s="24"/>
      <c r="L72" s="24">
        <v>9198.5</v>
      </c>
      <c r="M72" s="24"/>
      <c r="N72" s="24"/>
      <c r="O72" s="24"/>
      <c r="P72" s="24"/>
      <c r="Q72" s="24">
        <f>L72</f>
        <v>9198.5</v>
      </c>
    </row>
    <row r="73" spans="1:17" ht="67.5">
      <c r="A73" s="33" t="s">
        <v>138</v>
      </c>
      <c r="B73" s="34" t="s">
        <v>62</v>
      </c>
      <c r="C73" s="34" t="s">
        <v>101</v>
      </c>
      <c r="D73" s="34" t="s">
        <v>102</v>
      </c>
      <c r="E73" s="34" t="s">
        <v>121</v>
      </c>
      <c r="F73" s="34" t="s">
        <v>66</v>
      </c>
      <c r="G73" s="34" t="s">
        <v>139</v>
      </c>
      <c r="H73" s="34" t="s">
        <v>104</v>
      </c>
      <c r="I73" s="35"/>
      <c r="J73" s="24">
        <v>2200</v>
      </c>
      <c r="K73" s="24"/>
      <c r="L73" s="24"/>
      <c r="M73" s="24"/>
      <c r="N73" s="24"/>
      <c r="O73" s="24"/>
      <c r="P73" s="24"/>
      <c r="Q73" s="24">
        <f>I73+J73</f>
        <v>2200</v>
      </c>
    </row>
    <row r="74" spans="1:17" ht="56.25">
      <c r="A74" s="33" t="s">
        <v>140</v>
      </c>
      <c r="B74" s="34" t="s">
        <v>62</v>
      </c>
      <c r="C74" s="34" t="s">
        <v>101</v>
      </c>
      <c r="D74" s="34" t="s">
        <v>102</v>
      </c>
      <c r="E74" s="34" t="s">
        <v>121</v>
      </c>
      <c r="F74" s="34" t="s">
        <v>66</v>
      </c>
      <c r="G74" s="34" t="s">
        <v>141</v>
      </c>
      <c r="H74" s="34" t="s">
        <v>104</v>
      </c>
      <c r="I74" s="35"/>
      <c r="J74" s="24"/>
      <c r="K74" s="24"/>
      <c r="L74" s="24"/>
      <c r="M74" s="24">
        <v>2650</v>
      </c>
      <c r="N74" s="24"/>
      <c r="O74" s="24"/>
      <c r="P74" s="24"/>
      <c r="Q74" s="24">
        <f>I74+J74+M74</f>
        <v>2650</v>
      </c>
    </row>
    <row r="75" spans="1:17" ht="56.25">
      <c r="A75" s="33" t="s">
        <v>142</v>
      </c>
      <c r="B75" s="34" t="s">
        <v>62</v>
      </c>
      <c r="C75" s="34" t="s">
        <v>101</v>
      </c>
      <c r="D75" s="34" t="s">
        <v>102</v>
      </c>
      <c r="E75" s="34" t="s">
        <v>121</v>
      </c>
      <c r="F75" s="34" t="s">
        <v>66</v>
      </c>
      <c r="G75" s="34" t="s">
        <v>143</v>
      </c>
      <c r="H75" s="34" t="s">
        <v>104</v>
      </c>
      <c r="I75" s="35"/>
      <c r="J75" s="24"/>
      <c r="K75" s="24">
        <v>726</v>
      </c>
      <c r="L75" s="24"/>
      <c r="M75" s="24"/>
      <c r="N75" s="24">
        <v>726</v>
      </c>
      <c r="O75" s="24"/>
      <c r="P75" s="24"/>
      <c r="Q75" s="24">
        <f>I75+J75+K75+N75</f>
        <v>1452</v>
      </c>
    </row>
    <row r="76" spans="1:17" ht="45" hidden="1">
      <c r="A76" s="33" t="s">
        <v>144</v>
      </c>
      <c r="B76" s="34"/>
      <c r="C76" s="34"/>
      <c r="D76" s="34"/>
      <c r="E76" s="34"/>
      <c r="F76" s="34"/>
      <c r="G76" s="34" t="s">
        <v>145</v>
      </c>
      <c r="H76" s="34" t="s">
        <v>104</v>
      </c>
      <c r="I76" s="35"/>
      <c r="J76" s="24"/>
      <c r="K76" s="24"/>
      <c r="L76" s="24"/>
      <c r="M76" s="24"/>
      <c r="N76" s="24"/>
      <c r="O76" s="24"/>
      <c r="P76" s="24"/>
      <c r="Q76" s="24">
        <f>I76+J76+K76+N76</f>
        <v>0</v>
      </c>
    </row>
    <row r="77" spans="1:17" ht="67.5" hidden="1">
      <c r="A77" s="33" t="s">
        <v>146</v>
      </c>
      <c r="B77" s="34"/>
      <c r="C77" s="34"/>
      <c r="D77" s="34"/>
      <c r="E77" s="34"/>
      <c r="F77" s="34"/>
      <c r="G77" s="34" t="s">
        <v>147</v>
      </c>
      <c r="H77" s="34" t="s">
        <v>104</v>
      </c>
      <c r="I77" s="35"/>
      <c r="J77" s="24"/>
      <c r="K77" s="24"/>
      <c r="L77" s="24"/>
      <c r="M77" s="24"/>
      <c r="N77" s="24"/>
      <c r="O77" s="24"/>
      <c r="P77" s="24"/>
      <c r="Q77" s="24">
        <f>I77+J77+K77+N77</f>
        <v>0</v>
      </c>
    </row>
    <row r="78" spans="1:17" ht="78.75" hidden="1">
      <c r="A78" s="33" t="s">
        <v>148</v>
      </c>
      <c r="B78" s="34"/>
      <c r="C78" s="34"/>
      <c r="D78" s="34"/>
      <c r="E78" s="34"/>
      <c r="F78" s="34"/>
      <c r="G78" s="34"/>
      <c r="H78" s="34" t="s">
        <v>104</v>
      </c>
      <c r="I78" s="35"/>
      <c r="J78" s="24"/>
      <c r="K78" s="24"/>
      <c r="L78" s="24"/>
      <c r="M78" s="24"/>
      <c r="N78" s="24"/>
      <c r="O78" s="24"/>
      <c r="P78" s="24"/>
      <c r="Q78" s="24">
        <f>I78+J78+K78+N78</f>
        <v>0</v>
      </c>
    </row>
    <row r="79" spans="1:17" ht="22.5">
      <c r="A79" s="30" t="s">
        <v>149</v>
      </c>
      <c r="B79" s="31" t="s">
        <v>62</v>
      </c>
      <c r="C79" s="31" t="s">
        <v>101</v>
      </c>
      <c r="D79" s="31" t="s">
        <v>102</v>
      </c>
      <c r="E79" s="31" t="s">
        <v>150</v>
      </c>
      <c r="F79" s="31" t="s">
        <v>52</v>
      </c>
      <c r="G79" s="31" t="s">
        <v>151</v>
      </c>
      <c r="H79" s="31" t="s">
        <v>104</v>
      </c>
      <c r="I79" s="32">
        <f>I81+I82+I83+I84+I85+I86+I88+I91+I92+I94</f>
        <v>676990.698</v>
      </c>
      <c r="J79" s="32">
        <f>J81+J82+J83+J84+J85+J86+J88+J91+J92+J94</f>
        <v>0</v>
      </c>
      <c r="K79" s="32">
        <f>K81+K82+K83+K84+K85+K86+K88+K91+K92+K94</f>
        <v>8183.53</v>
      </c>
      <c r="L79" s="32">
        <f>L81+L82+L83+L84+L85+L86+L88+L91+L92+L94</f>
        <v>359</v>
      </c>
      <c r="M79" s="32">
        <f>M81+M82+M83+M84+M85+M86+M88+M91+M92+M94+M93</f>
        <v>-29</v>
      </c>
      <c r="N79" s="32">
        <f>N81+N82+N83+N84+N85+N86+N88+N91+N92+N94+N93</f>
        <v>-51751.183000000005</v>
      </c>
      <c r="O79" s="32">
        <f>O81+O82+O83+O84+O85+O86+O88+O91+O92+O94+O93+O80</f>
        <v>1090.386</v>
      </c>
      <c r="P79" s="32">
        <f>P81+P82+P83+P84+P85+P86+P88+P91+P92+P94+P93+P80+P87</f>
        <v>40383.937000000005</v>
      </c>
      <c r="Q79" s="32">
        <f>Q81+Q82+Q83+Q84+Q85+Q86+Q88+Q91+Q92+Q94+Q93+Q80+Q87</f>
        <v>675227.368</v>
      </c>
    </row>
    <row r="80" spans="1:17" s="38" customFormat="1" ht="22.5">
      <c r="A80" s="33" t="s">
        <v>152</v>
      </c>
      <c r="B80" s="34" t="s">
        <v>62</v>
      </c>
      <c r="C80" s="34" t="s">
        <v>101</v>
      </c>
      <c r="D80" s="34" t="s">
        <v>102</v>
      </c>
      <c r="E80" s="34" t="s">
        <v>153</v>
      </c>
      <c r="F80" s="34" t="s">
        <v>66</v>
      </c>
      <c r="G80" s="34" t="s">
        <v>67</v>
      </c>
      <c r="H80" s="34" t="s">
        <v>104</v>
      </c>
      <c r="I80" s="35"/>
      <c r="J80" s="35"/>
      <c r="K80" s="35"/>
      <c r="L80" s="35"/>
      <c r="M80" s="35"/>
      <c r="N80" s="35"/>
      <c r="O80" s="35">
        <v>120.386</v>
      </c>
      <c r="P80" s="35"/>
      <c r="Q80" s="35">
        <f>O80</f>
        <v>120.386</v>
      </c>
    </row>
    <row r="81" spans="1:17" ht="33.75">
      <c r="A81" s="33" t="s">
        <v>154</v>
      </c>
      <c r="B81" s="34" t="s">
        <v>62</v>
      </c>
      <c r="C81" s="34" t="s">
        <v>101</v>
      </c>
      <c r="D81" s="34" t="s">
        <v>102</v>
      </c>
      <c r="E81" s="34" t="s">
        <v>155</v>
      </c>
      <c r="F81" s="34" t="s">
        <v>66</v>
      </c>
      <c r="G81" s="34" t="s">
        <v>67</v>
      </c>
      <c r="H81" s="34" t="s">
        <v>104</v>
      </c>
      <c r="I81" s="35">
        <v>200</v>
      </c>
      <c r="J81" s="24"/>
      <c r="K81" s="24"/>
      <c r="L81" s="24"/>
      <c r="M81" s="24"/>
      <c r="N81" s="24"/>
      <c r="O81" s="24"/>
      <c r="P81" s="24"/>
      <c r="Q81" s="24">
        <f>I81+J81</f>
        <v>200</v>
      </c>
    </row>
    <row r="82" spans="1:17" ht="45" hidden="1">
      <c r="A82" s="39" t="s">
        <v>156</v>
      </c>
      <c r="B82" s="34" t="s">
        <v>62</v>
      </c>
      <c r="C82" s="34" t="s">
        <v>101</v>
      </c>
      <c r="D82" s="34" t="s">
        <v>102</v>
      </c>
      <c r="E82" s="34" t="s">
        <v>157</v>
      </c>
      <c r="F82" s="34" t="s">
        <v>66</v>
      </c>
      <c r="G82" s="34" t="s">
        <v>67</v>
      </c>
      <c r="H82" s="34" t="s">
        <v>104</v>
      </c>
      <c r="I82" s="35"/>
      <c r="J82" s="24"/>
      <c r="K82" s="24"/>
      <c r="L82" s="24"/>
      <c r="M82" s="24"/>
      <c r="N82" s="24"/>
      <c r="O82" s="24"/>
      <c r="P82" s="24"/>
      <c r="Q82" s="24">
        <f>I82+J82</f>
        <v>0</v>
      </c>
    </row>
    <row r="83" spans="1:17" ht="33.75">
      <c r="A83" s="33" t="s">
        <v>158</v>
      </c>
      <c r="B83" s="34" t="s">
        <v>62</v>
      </c>
      <c r="C83" s="34" t="s">
        <v>101</v>
      </c>
      <c r="D83" s="34" t="s">
        <v>102</v>
      </c>
      <c r="E83" s="34" t="s">
        <v>159</v>
      </c>
      <c r="F83" s="34" t="s">
        <v>66</v>
      </c>
      <c r="G83" s="34" t="s">
        <v>67</v>
      </c>
      <c r="H83" s="34" t="s">
        <v>104</v>
      </c>
      <c r="I83" s="35">
        <v>1922.598</v>
      </c>
      <c r="J83" s="24"/>
      <c r="K83" s="24"/>
      <c r="L83" s="24"/>
      <c r="M83" s="24"/>
      <c r="N83" s="24">
        <v>-51.283</v>
      </c>
      <c r="O83" s="24"/>
      <c r="P83" s="24"/>
      <c r="Q83" s="24">
        <f>I83+J83+N83</f>
        <v>1871.315</v>
      </c>
    </row>
    <row r="84" spans="1:17" ht="45">
      <c r="A84" s="33" t="s">
        <v>160</v>
      </c>
      <c r="B84" s="34" t="s">
        <v>62</v>
      </c>
      <c r="C84" s="34" t="s">
        <v>101</v>
      </c>
      <c r="D84" s="34" t="s">
        <v>102</v>
      </c>
      <c r="E84" s="34" t="s">
        <v>161</v>
      </c>
      <c r="F84" s="34" t="s">
        <v>66</v>
      </c>
      <c r="G84" s="34" t="s">
        <v>67</v>
      </c>
      <c r="H84" s="34" t="s">
        <v>104</v>
      </c>
      <c r="I84" s="23">
        <v>810</v>
      </c>
      <c r="J84" s="24"/>
      <c r="K84" s="24"/>
      <c r="L84" s="24"/>
      <c r="M84" s="24"/>
      <c r="N84" s="24"/>
      <c r="O84" s="24"/>
      <c r="P84" s="24">
        <v>-135</v>
      </c>
      <c r="Q84" s="24">
        <f>I84+J84+P84</f>
        <v>675</v>
      </c>
    </row>
    <row r="85" spans="1:17" ht="33.75">
      <c r="A85" s="33" t="s">
        <v>162</v>
      </c>
      <c r="B85" s="34" t="s">
        <v>62</v>
      </c>
      <c r="C85" s="34" t="s">
        <v>101</v>
      </c>
      <c r="D85" s="34" t="s">
        <v>102</v>
      </c>
      <c r="E85" s="34" t="s">
        <v>163</v>
      </c>
      <c r="F85" s="34" t="s">
        <v>66</v>
      </c>
      <c r="G85" s="34" t="s">
        <v>67</v>
      </c>
      <c r="H85" s="34" t="s">
        <v>104</v>
      </c>
      <c r="I85" s="35"/>
      <c r="J85" s="24"/>
      <c r="K85" s="24">
        <v>8000</v>
      </c>
      <c r="L85" s="24"/>
      <c r="M85" s="24"/>
      <c r="N85" s="24"/>
      <c r="O85" s="24"/>
      <c r="P85" s="24"/>
      <c r="Q85" s="24">
        <f>I85+J85+K85</f>
        <v>8000</v>
      </c>
    </row>
    <row r="86" spans="1:17" ht="33.75">
      <c r="A86" s="33" t="s">
        <v>164</v>
      </c>
      <c r="B86" s="34" t="s">
        <v>62</v>
      </c>
      <c r="C86" s="34" t="s">
        <v>101</v>
      </c>
      <c r="D86" s="34" t="s">
        <v>102</v>
      </c>
      <c r="E86" s="34" t="s">
        <v>165</v>
      </c>
      <c r="F86" s="34" t="s">
        <v>66</v>
      </c>
      <c r="G86" s="34" t="s">
        <v>67</v>
      </c>
      <c r="H86" s="34" t="s">
        <v>104</v>
      </c>
      <c r="I86" s="35">
        <v>26952</v>
      </c>
      <c r="J86" s="24"/>
      <c r="K86" s="24"/>
      <c r="L86" s="24"/>
      <c r="M86" s="24"/>
      <c r="N86" s="24"/>
      <c r="O86" s="24"/>
      <c r="P86" s="24"/>
      <c r="Q86" s="24">
        <f>I86+J86</f>
        <v>26952</v>
      </c>
    </row>
    <row r="87" spans="1:17" ht="33.75">
      <c r="A87" s="33" t="s">
        <v>548</v>
      </c>
      <c r="B87" s="34" t="s">
        <v>62</v>
      </c>
      <c r="C87" s="34" t="s">
        <v>101</v>
      </c>
      <c r="D87" s="34" t="s">
        <v>102</v>
      </c>
      <c r="E87" s="34" t="s">
        <v>547</v>
      </c>
      <c r="F87" s="34" t="s">
        <v>66</v>
      </c>
      <c r="G87" s="34" t="s">
        <v>67</v>
      </c>
      <c r="H87" s="34" t="s">
        <v>104</v>
      </c>
      <c r="I87" s="35"/>
      <c r="J87" s="24"/>
      <c r="K87" s="24"/>
      <c r="L87" s="24"/>
      <c r="M87" s="24"/>
      <c r="N87" s="24"/>
      <c r="O87" s="24"/>
      <c r="P87" s="24">
        <f>5118</f>
        <v>5118</v>
      </c>
      <c r="Q87" s="24">
        <f>P87</f>
        <v>5118</v>
      </c>
    </row>
    <row r="88" spans="1:17" ht="45">
      <c r="A88" s="33" t="s">
        <v>166</v>
      </c>
      <c r="B88" s="34" t="s">
        <v>62</v>
      </c>
      <c r="C88" s="34" t="s">
        <v>101</v>
      </c>
      <c r="D88" s="34" t="s">
        <v>102</v>
      </c>
      <c r="E88" s="34" t="s">
        <v>167</v>
      </c>
      <c r="F88" s="34" t="s">
        <v>66</v>
      </c>
      <c r="G88" s="34" t="s">
        <v>168</v>
      </c>
      <c r="H88" s="34" t="s">
        <v>104</v>
      </c>
      <c r="I88" s="23">
        <v>25131</v>
      </c>
      <c r="J88" s="24"/>
      <c r="K88" s="24">
        <v>988</v>
      </c>
      <c r="L88" s="24"/>
      <c r="M88" s="24"/>
      <c r="N88" s="24">
        <v>-2177</v>
      </c>
      <c r="O88" s="24"/>
      <c r="P88" s="24">
        <f>-734.44</f>
        <v>-734.44</v>
      </c>
      <c r="Q88" s="24">
        <f>I88+J88+K88+N88+P88</f>
        <v>23207.56</v>
      </c>
    </row>
    <row r="89" spans="1:17" ht="45">
      <c r="A89" s="33" t="s">
        <v>166</v>
      </c>
      <c r="B89" s="34" t="s">
        <v>62</v>
      </c>
      <c r="C89" s="34" t="s">
        <v>101</v>
      </c>
      <c r="D89" s="34" t="s">
        <v>102</v>
      </c>
      <c r="E89" s="34" t="s">
        <v>167</v>
      </c>
      <c r="F89" s="34" t="s">
        <v>66</v>
      </c>
      <c r="G89" s="34" t="s">
        <v>169</v>
      </c>
      <c r="H89" s="34" t="s">
        <v>104</v>
      </c>
      <c r="I89" s="23"/>
      <c r="J89" s="24"/>
      <c r="K89" s="24"/>
      <c r="L89" s="24"/>
      <c r="M89" s="24"/>
      <c r="N89" s="24"/>
      <c r="O89" s="24"/>
      <c r="P89" s="24"/>
      <c r="Q89" s="24"/>
    </row>
    <row r="90" spans="1:17" ht="45">
      <c r="A90" s="33" t="s">
        <v>166</v>
      </c>
      <c r="B90" s="34" t="s">
        <v>62</v>
      </c>
      <c r="C90" s="34" t="s">
        <v>101</v>
      </c>
      <c r="D90" s="34" t="s">
        <v>102</v>
      </c>
      <c r="E90" s="34" t="s">
        <v>167</v>
      </c>
      <c r="F90" s="34" t="s">
        <v>66</v>
      </c>
      <c r="G90" s="34" t="s">
        <v>170</v>
      </c>
      <c r="H90" s="34" t="s">
        <v>104</v>
      </c>
      <c r="I90" s="23"/>
      <c r="J90" s="24"/>
      <c r="K90" s="24"/>
      <c r="L90" s="24"/>
      <c r="M90" s="24"/>
      <c r="N90" s="24"/>
      <c r="O90" s="24"/>
      <c r="P90" s="24"/>
      <c r="Q90" s="24"/>
    </row>
    <row r="91" spans="1:17" ht="67.5">
      <c r="A91" s="33" t="s">
        <v>171</v>
      </c>
      <c r="B91" s="34" t="s">
        <v>62</v>
      </c>
      <c r="C91" s="34" t="s">
        <v>101</v>
      </c>
      <c r="D91" s="34" t="s">
        <v>102</v>
      </c>
      <c r="E91" s="34" t="s">
        <v>172</v>
      </c>
      <c r="F91" s="34" t="s">
        <v>66</v>
      </c>
      <c r="G91" s="34" t="s">
        <v>67</v>
      </c>
      <c r="H91" s="34" t="s">
        <v>104</v>
      </c>
      <c r="I91" s="35">
        <v>5633</v>
      </c>
      <c r="J91" s="24"/>
      <c r="K91" s="24"/>
      <c r="L91" s="24"/>
      <c r="M91" s="24"/>
      <c r="N91" s="24"/>
      <c r="O91" s="24"/>
      <c r="P91" s="24">
        <v>4469.7</v>
      </c>
      <c r="Q91" s="24">
        <f>I91+J91+P91</f>
        <v>10102.7</v>
      </c>
    </row>
    <row r="92" spans="1:17" ht="45">
      <c r="A92" s="33" t="s">
        <v>173</v>
      </c>
      <c r="B92" s="34" t="s">
        <v>62</v>
      </c>
      <c r="C92" s="34" t="s">
        <v>101</v>
      </c>
      <c r="D92" s="34" t="s">
        <v>102</v>
      </c>
      <c r="E92" s="34" t="s">
        <v>174</v>
      </c>
      <c r="F92" s="34" t="s">
        <v>52</v>
      </c>
      <c r="G92" s="34" t="s">
        <v>67</v>
      </c>
      <c r="H92" s="34" t="s">
        <v>104</v>
      </c>
      <c r="I92" s="35">
        <v>8834</v>
      </c>
      <c r="J92" s="24"/>
      <c r="K92" s="24"/>
      <c r="L92" s="24"/>
      <c r="M92" s="24">
        <v>-795</v>
      </c>
      <c r="N92" s="24"/>
      <c r="O92" s="24"/>
      <c r="P92" s="24"/>
      <c r="Q92" s="24">
        <f>I92+M92</f>
        <v>8039</v>
      </c>
    </row>
    <row r="93" spans="1:17" ht="45">
      <c r="A93" s="33" t="s">
        <v>175</v>
      </c>
      <c r="B93" s="34" t="s">
        <v>62</v>
      </c>
      <c r="C93" s="34" t="s">
        <v>101</v>
      </c>
      <c r="D93" s="34" t="s">
        <v>102</v>
      </c>
      <c r="E93" s="34" t="s">
        <v>174</v>
      </c>
      <c r="F93" s="34" t="s">
        <v>52</v>
      </c>
      <c r="G93" s="34" t="s">
        <v>176</v>
      </c>
      <c r="H93" s="34" t="s">
        <v>104</v>
      </c>
      <c r="I93" s="35"/>
      <c r="J93" s="24"/>
      <c r="K93" s="24"/>
      <c r="L93" s="24"/>
      <c r="M93" s="24">
        <v>795</v>
      </c>
      <c r="N93" s="24"/>
      <c r="O93" s="24"/>
      <c r="P93" s="24">
        <v>-51.123</v>
      </c>
      <c r="Q93" s="24">
        <f>M93+L93+K93+J93+I93+P93</f>
        <v>743.877</v>
      </c>
    </row>
    <row r="94" spans="1:17" ht="33.75">
      <c r="A94" s="30" t="s">
        <v>177</v>
      </c>
      <c r="B94" s="31" t="s">
        <v>62</v>
      </c>
      <c r="C94" s="31" t="s">
        <v>101</v>
      </c>
      <c r="D94" s="31" t="s">
        <v>102</v>
      </c>
      <c r="E94" s="31" t="s">
        <v>178</v>
      </c>
      <c r="F94" s="31" t="s">
        <v>52</v>
      </c>
      <c r="G94" s="31" t="s">
        <v>67</v>
      </c>
      <c r="H94" s="31" t="s">
        <v>104</v>
      </c>
      <c r="I94" s="32">
        <f aca="true" t="shared" si="6" ref="I94:N94">I97+I98+I99+I100+I101+I102+I103+I104+I105+I106+I107+I108+I109+I110+I111+I112+I96</f>
        <v>607508.1</v>
      </c>
      <c r="J94" s="32">
        <f t="shared" si="6"/>
        <v>0</v>
      </c>
      <c r="K94" s="32">
        <f t="shared" si="6"/>
        <v>-804.47</v>
      </c>
      <c r="L94" s="32">
        <f t="shared" si="6"/>
        <v>359</v>
      </c>
      <c r="M94" s="32">
        <f t="shared" si="6"/>
        <v>-29</v>
      </c>
      <c r="N94" s="32">
        <f t="shared" si="6"/>
        <v>-49522.9</v>
      </c>
      <c r="O94" s="32">
        <f>O97+O98+O99+O100+O101+O102+O103+O104+O105+O106+O107+O108+O109+O110+O111+O112+O96+O113</f>
        <v>970</v>
      </c>
      <c r="P94" s="32">
        <f>P97+P98+P99+P100+P101+P102+P103+P104+P105+P106+P107+P108+P109+P110+P111+P112+P96+P113</f>
        <v>31716.800000000003</v>
      </c>
      <c r="Q94" s="32">
        <f>Q97+Q98+Q99+Q100+Q101+Q102+Q103+Q104+Q105+Q106+Q107+Q108+Q109+Q110+Q111+Q112+Q96+Q113</f>
        <v>590197.53</v>
      </c>
    </row>
    <row r="95" spans="1:17" ht="12.75">
      <c r="A95" s="33" t="s">
        <v>122</v>
      </c>
      <c r="B95" s="31"/>
      <c r="C95" s="31"/>
      <c r="D95" s="31"/>
      <c r="E95" s="31"/>
      <c r="F95" s="31"/>
      <c r="G95" s="31"/>
      <c r="H95" s="31"/>
      <c r="I95" s="32"/>
      <c r="J95" s="24"/>
      <c r="K95" s="24"/>
      <c r="L95" s="24"/>
      <c r="M95" s="24"/>
      <c r="N95" s="24"/>
      <c r="O95" s="24"/>
      <c r="P95" s="24"/>
      <c r="Q95" s="24"/>
    </row>
    <row r="96" spans="1:17" ht="45">
      <c r="A96" s="33" t="s">
        <v>179</v>
      </c>
      <c r="B96" s="34" t="s">
        <v>62</v>
      </c>
      <c r="C96" s="34" t="s">
        <v>101</v>
      </c>
      <c r="D96" s="34" t="s">
        <v>102</v>
      </c>
      <c r="E96" s="34" t="s">
        <v>178</v>
      </c>
      <c r="F96" s="34" t="s">
        <v>52</v>
      </c>
      <c r="G96" s="34" t="s">
        <v>180</v>
      </c>
      <c r="H96" s="34" t="s">
        <v>104</v>
      </c>
      <c r="I96" s="35">
        <v>72977</v>
      </c>
      <c r="J96" s="24"/>
      <c r="K96" s="24">
        <v>-835.2</v>
      </c>
      <c r="L96" s="24"/>
      <c r="M96" s="24"/>
      <c r="N96" s="24">
        <v>-6665.2</v>
      </c>
      <c r="O96" s="24"/>
      <c r="P96" s="24">
        <f>226.6+1208.9+7907.1</f>
        <v>9342.6</v>
      </c>
      <c r="Q96" s="24">
        <f>I96+J96+K96+N96+P96</f>
        <v>74819.20000000001</v>
      </c>
    </row>
    <row r="97" spans="1:17" ht="33.75">
      <c r="A97" s="40" t="s">
        <v>181</v>
      </c>
      <c r="B97" s="34" t="s">
        <v>62</v>
      </c>
      <c r="C97" s="34" t="s">
        <v>101</v>
      </c>
      <c r="D97" s="34" t="s">
        <v>102</v>
      </c>
      <c r="E97" s="34" t="s">
        <v>178</v>
      </c>
      <c r="F97" s="34" t="s">
        <v>52</v>
      </c>
      <c r="G97" s="34" t="s">
        <v>182</v>
      </c>
      <c r="H97" s="34" t="s">
        <v>104</v>
      </c>
      <c r="I97" s="35">
        <v>22898</v>
      </c>
      <c r="J97" s="24"/>
      <c r="K97" s="24"/>
      <c r="L97" s="24"/>
      <c r="M97" s="24"/>
      <c r="N97" s="24"/>
      <c r="O97" s="24"/>
      <c r="P97" s="24">
        <f>68+162</f>
        <v>230</v>
      </c>
      <c r="Q97" s="24">
        <f>I97+J97+P97</f>
        <v>23128</v>
      </c>
    </row>
    <row r="98" spans="1:17" ht="33.75">
      <c r="A98" s="33" t="s">
        <v>183</v>
      </c>
      <c r="B98" s="34" t="s">
        <v>62</v>
      </c>
      <c r="C98" s="34" t="s">
        <v>101</v>
      </c>
      <c r="D98" s="34" t="s">
        <v>102</v>
      </c>
      <c r="E98" s="34" t="s">
        <v>178</v>
      </c>
      <c r="F98" s="34" t="s">
        <v>52</v>
      </c>
      <c r="G98" s="34" t="s">
        <v>184</v>
      </c>
      <c r="H98" s="34" t="s">
        <v>104</v>
      </c>
      <c r="I98" s="35">
        <v>963</v>
      </c>
      <c r="J98" s="24"/>
      <c r="K98" s="24"/>
      <c r="L98" s="24"/>
      <c r="M98" s="24"/>
      <c r="N98" s="24"/>
      <c r="O98" s="24"/>
      <c r="P98" s="24"/>
      <c r="Q98" s="24">
        <f>I98+J98</f>
        <v>963</v>
      </c>
    </row>
    <row r="99" spans="1:17" ht="45">
      <c r="A99" s="41" t="s">
        <v>185</v>
      </c>
      <c r="B99" s="34" t="s">
        <v>62</v>
      </c>
      <c r="C99" s="34" t="s">
        <v>101</v>
      </c>
      <c r="D99" s="34" t="s">
        <v>102</v>
      </c>
      <c r="E99" s="34" t="s">
        <v>178</v>
      </c>
      <c r="F99" s="34" t="s">
        <v>52</v>
      </c>
      <c r="G99" s="34" t="s">
        <v>186</v>
      </c>
      <c r="H99" s="34" t="s">
        <v>104</v>
      </c>
      <c r="I99" s="35">
        <v>66259</v>
      </c>
      <c r="J99" s="24"/>
      <c r="K99" s="24"/>
      <c r="L99" s="24"/>
      <c r="M99" s="24"/>
      <c r="N99" s="24"/>
      <c r="O99" s="24"/>
      <c r="P99" s="24"/>
      <c r="Q99" s="24">
        <f>I99+J99</f>
        <v>66259</v>
      </c>
    </row>
    <row r="100" spans="1:17" ht="45">
      <c r="A100" s="41" t="s">
        <v>187</v>
      </c>
      <c r="B100" s="34" t="s">
        <v>62</v>
      </c>
      <c r="C100" s="34" t="s">
        <v>101</v>
      </c>
      <c r="D100" s="34" t="s">
        <v>102</v>
      </c>
      <c r="E100" s="34" t="s">
        <v>178</v>
      </c>
      <c r="F100" s="34" t="s">
        <v>52</v>
      </c>
      <c r="G100" s="34" t="s">
        <v>188</v>
      </c>
      <c r="H100" s="34" t="s">
        <v>104</v>
      </c>
      <c r="I100" s="35">
        <v>456</v>
      </c>
      <c r="J100" s="24"/>
      <c r="K100" s="24"/>
      <c r="L100" s="24"/>
      <c r="M100" s="24"/>
      <c r="N100" s="24"/>
      <c r="O100" s="24"/>
      <c r="P100" s="24"/>
      <c r="Q100" s="24">
        <f>I100+J100</f>
        <v>456</v>
      </c>
    </row>
    <row r="101" spans="1:17" ht="33.75">
      <c r="A101" s="41" t="s">
        <v>189</v>
      </c>
      <c r="B101" s="34" t="s">
        <v>62</v>
      </c>
      <c r="C101" s="34" t="s">
        <v>101</v>
      </c>
      <c r="D101" s="34" t="s">
        <v>102</v>
      </c>
      <c r="E101" s="34" t="s">
        <v>178</v>
      </c>
      <c r="F101" s="34" t="s">
        <v>52</v>
      </c>
      <c r="G101" s="34" t="s">
        <v>190</v>
      </c>
      <c r="H101" s="34" t="s">
        <v>104</v>
      </c>
      <c r="I101" s="35">
        <v>48.8</v>
      </c>
      <c r="J101" s="24"/>
      <c r="K101" s="24">
        <v>0.03</v>
      </c>
      <c r="L101" s="24"/>
      <c r="M101" s="24"/>
      <c r="N101" s="24"/>
      <c r="O101" s="24"/>
      <c r="P101" s="24"/>
      <c r="Q101" s="24">
        <f>I101+J101+K101</f>
        <v>48.83</v>
      </c>
    </row>
    <row r="102" spans="1:17" ht="33.75">
      <c r="A102" s="41" t="s">
        <v>191</v>
      </c>
      <c r="B102" s="34" t="s">
        <v>62</v>
      </c>
      <c r="C102" s="34" t="s">
        <v>101</v>
      </c>
      <c r="D102" s="34" t="s">
        <v>102</v>
      </c>
      <c r="E102" s="34" t="s">
        <v>178</v>
      </c>
      <c r="F102" s="34" t="s">
        <v>52</v>
      </c>
      <c r="G102" s="34" t="s">
        <v>192</v>
      </c>
      <c r="H102" s="34" t="s">
        <v>104</v>
      </c>
      <c r="I102" s="35">
        <v>730.6</v>
      </c>
      <c r="J102" s="24"/>
      <c r="K102" s="24">
        <v>30.7</v>
      </c>
      <c r="L102" s="24"/>
      <c r="M102" s="42"/>
      <c r="N102" s="42"/>
      <c r="O102" s="42"/>
      <c r="P102" s="42"/>
      <c r="Q102" s="24">
        <f>I102+J102+K102</f>
        <v>761.3000000000001</v>
      </c>
    </row>
    <row r="103" spans="1:17" ht="22.5">
      <c r="A103" s="41" t="s">
        <v>193</v>
      </c>
      <c r="B103" s="34" t="s">
        <v>62</v>
      </c>
      <c r="C103" s="34" t="s">
        <v>101</v>
      </c>
      <c r="D103" s="34" t="s">
        <v>102</v>
      </c>
      <c r="E103" s="34" t="s">
        <v>178</v>
      </c>
      <c r="F103" s="34" t="s">
        <v>52</v>
      </c>
      <c r="G103" s="34" t="s">
        <v>194</v>
      </c>
      <c r="H103" s="34" t="s">
        <v>104</v>
      </c>
      <c r="I103" s="35">
        <v>1177</v>
      </c>
      <c r="J103" s="24"/>
      <c r="K103" s="24"/>
      <c r="L103" s="24">
        <v>193</v>
      </c>
      <c r="M103" s="24"/>
      <c r="N103" s="24"/>
      <c r="O103" s="24"/>
      <c r="P103" s="24"/>
      <c r="Q103" s="24">
        <f>I103+J103+L103</f>
        <v>1370</v>
      </c>
    </row>
    <row r="104" spans="1:17" ht="22.5">
      <c r="A104" s="41" t="s">
        <v>195</v>
      </c>
      <c r="B104" s="34" t="s">
        <v>62</v>
      </c>
      <c r="C104" s="34" t="s">
        <v>101</v>
      </c>
      <c r="D104" s="34" t="s">
        <v>102</v>
      </c>
      <c r="E104" s="34" t="s">
        <v>178</v>
      </c>
      <c r="F104" s="34" t="s">
        <v>52</v>
      </c>
      <c r="G104" s="34" t="s">
        <v>196</v>
      </c>
      <c r="H104" s="34" t="s">
        <v>104</v>
      </c>
      <c r="I104" s="35">
        <v>326821.6</v>
      </c>
      <c r="J104" s="24"/>
      <c r="K104" s="24"/>
      <c r="L104" s="24"/>
      <c r="M104" s="24"/>
      <c r="N104" s="24">
        <v>-43877.8</v>
      </c>
      <c r="O104" s="24"/>
      <c r="P104" s="24">
        <f>1371.2+20658.2</f>
        <v>22029.4</v>
      </c>
      <c r="Q104" s="24">
        <f>I104+J104+N104+P104</f>
        <v>304973.2</v>
      </c>
    </row>
    <row r="105" spans="1:17" ht="33.75">
      <c r="A105" s="41" t="s">
        <v>197</v>
      </c>
      <c r="B105" s="34" t="s">
        <v>62</v>
      </c>
      <c r="C105" s="34" t="s">
        <v>101</v>
      </c>
      <c r="D105" s="34" t="s">
        <v>102</v>
      </c>
      <c r="E105" s="34" t="s">
        <v>178</v>
      </c>
      <c r="F105" s="34" t="s">
        <v>52</v>
      </c>
      <c r="G105" s="34" t="s">
        <v>198</v>
      </c>
      <c r="H105" s="34" t="s">
        <v>104</v>
      </c>
      <c r="I105" s="35">
        <v>89028</v>
      </c>
      <c r="J105" s="24"/>
      <c r="K105" s="24"/>
      <c r="L105" s="24"/>
      <c r="M105" s="24"/>
      <c r="N105" s="24">
        <v>975.1</v>
      </c>
      <c r="O105" s="24"/>
      <c r="P105" s="24">
        <v>204.8</v>
      </c>
      <c r="Q105" s="24">
        <f>I105+J105+N105+P105</f>
        <v>90207.90000000001</v>
      </c>
    </row>
    <row r="106" spans="1:17" ht="45">
      <c r="A106" s="41" t="s">
        <v>199</v>
      </c>
      <c r="B106" s="34" t="s">
        <v>62</v>
      </c>
      <c r="C106" s="34" t="s">
        <v>101</v>
      </c>
      <c r="D106" s="34" t="s">
        <v>102</v>
      </c>
      <c r="E106" s="34" t="s">
        <v>178</v>
      </c>
      <c r="F106" s="34" t="s">
        <v>52</v>
      </c>
      <c r="G106" s="34" t="s">
        <v>200</v>
      </c>
      <c r="H106" s="34" t="s">
        <v>104</v>
      </c>
      <c r="I106" s="35">
        <v>614</v>
      </c>
      <c r="J106" s="24"/>
      <c r="K106" s="24"/>
      <c r="L106" s="24">
        <v>166</v>
      </c>
      <c r="M106" s="24"/>
      <c r="N106" s="24"/>
      <c r="O106" s="24"/>
      <c r="P106" s="24">
        <v>-90</v>
      </c>
      <c r="Q106" s="24">
        <f>I106+J106+L106+P106</f>
        <v>690</v>
      </c>
    </row>
    <row r="107" spans="1:17" ht="45">
      <c r="A107" s="41" t="s">
        <v>201</v>
      </c>
      <c r="B107" s="34" t="s">
        <v>62</v>
      </c>
      <c r="C107" s="34" t="s">
        <v>101</v>
      </c>
      <c r="D107" s="34" t="s">
        <v>102</v>
      </c>
      <c r="E107" s="34" t="s">
        <v>178</v>
      </c>
      <c r="F107" s="34" t="s">
        <v>52</v>
      </c>
      <c r="G107" s="34" t="s">
        <v>202</v>
      </c>
      <c r="H107" s="34" t="s">
        <v>104</v>
      </c>
      <c r="I107" s="35">
        <v>9050</v>
      </c>
      <c r="J107" s="24"/>
      <c r="K107" s="24"/>
      <c r="L107" s="24"/>
      <c r="M107" s="24"/>
      <c r="N107" s="24"/>
      <c r="O107" s="24"/>
      <c r="P107" s="24"/>
      <c r="Q107" s="24">
        <f>I107+J107</f>
        <v>9050</v>
      </c>
    </row>
    <row r="108" spans="1:17" ht="22.5">
      <c r="A108" s="41" t="s">
        <v>203</v>
      </c>
      <c r="B108" s="34" t="s">
        <v>62</v>
      </c>
      <c r="C108" s="34" t="s">
        <v>101</v>
      </c>
      <c r="D108" s="34" t="s">
        <v>102</v>
      </c>
      <c r="E108" s="34" t="s">
        <v>178</v>
      </c>
      <c r="F108" s="34" t="s">
        <v>52</v>
      </c>
      <c r="G108" s="34" t="s">
        <v>204</v>
      </c>
      <c r="H108" s="34" t="s">
        <v>104</v>
      </c>
      <c r="I108" s="35">
        <v>12513</v>
      </c>
      <c r="J108" s="24"/>
      <c r="K108" s="24"/>
      <c r="L108" s="24"/>
      <c r="M108" s="24"/>
      <c r="N108" s="24"/>
      <c r="O108" s="24"/>
      <c r="P108" s="24"/>
      <c r="Q108" s="24">
        <f>I108+J108</f>
        <v>12513</v>
      </c>
    </row>
    <row r="109" spans="1:17" ht="45">
      <c r="A109" s="43" t="s">
        <v>205</v>
      </c>
      <c r="B109" s="34" t="s">
        <v>62</v>
      </c>
      <c r="C109" s="34" t="s">
        <v>101</v>
      </c>
      <c r="D109" s="34" t="s">
        <v>102</v>
      </c>
      <c r="E109" s="34" t="s">
        <v>178</v>
      </c>
      <c r="F109" s="34" t="s">
        <v>52</v>
      </c>
      <c r="G109" s="34" t="s">
        <v>206</v>
      </c>
      <c r="H109" s="34" t="s">
        <v>104</v>
      </c>
      <c r="I109" s="35">
        <v>20.2</v>
      </c>
      <c r="J109" s="24"/>
      <c r="K109" s="24"/>
      <c r="L109" s="24"/>
      <c r="M109" s="24"/>
      <c r="N109" s="24"/>
      <c r="O109" s="24"/>
      <c r="P109" s="24"/>
      <c r="Q109" s="24">
        <f>I109+J109</f>
        <v>20.2</v>
      </c>
    </row>
    <row r="110" spans="1:17" ht="33.75">
      <c r="A110" s="41" t="s">
        <v>207</v>
      </c>
      <c r="B110" s="34" t="s">
        <v>62</v>
      </c>
      <c r="C110" s="34" t="s">
        <v>101</v>
      </c>
      <c r="D110" s="34" t="s">
        <v>102</v>
      </c>
      <c r="E110" s="34" t="s">
        <v>178</v>
      </c>
      <c r="F110" s="34" t="s">
        <v>52</v>
      </c>
      <c r="G110" s="34" t="s">
        <v>208</v>
      </c>
      <c r="H110" s="34" t="s">
        <v>104</v>
      </c>
      <c r="I110" s="35">
        <v>410.9</v>
      </c>
      <c r="J110" s="24"/>
      <c r="K110" s="24"/>
      <c r="L110" s="24"/>
      <c r="M110" s="24"/>
      <c r="N110" s="24"/>
      <c r="O110" s="24"/>
      <c r="P110" s="24"/>
      <c r="Q110" s="24">
        <f>I110+J110</f>
        <v>410.9</v>
      </c>
    </row>
    <row r="111" spans="1:17" ht="22.5">
      <c r="A111" s="41" t="s">
        <v>209</v>
      </c>
      <c r="B111" s="34" t="s">
        <v>62</v>
      </c>
      <c r="C111" s="34" t="s">
        <v>101</v>
      </c>
      <c r="D111" s="34" t="s">
        <v>102</v>
      </c>
      <c r="E111" s="34" t="s">
        <v>178</v>
      </c>
      <c r="F111" s="34" t="s">
        <v>52</v>
      </c>
      <c r="G111" s="34" t="s">
        <v>210</v>
      </c>
      <c r="H111" s="34" t="s">
        <v>104</v>
      </c>
      <c r="I111" s="35">
        <v>381</v>
      </c>
      <c r="J111" s="24"/>
      <c r="K111" s="24"/>
      <c r="L111" s="24"/>
      <c r="M111" s="24">
        <v>-29</v>
      </c>
      <c r="N111" s="24">
        <v>45</v>
      </c>
      <c r="O111" s="24"/>
      <c r="P111" s="24"/>
      <c r="Q111" s="24">
        <f>I111+J111+M111+N111</f>
        <v>397</v>
      </c>
    </row>
    <row r="112" spans="1:17" ht="45">
      <c r="A112" s="41" t="s">
        <v>211</v>
      </c>
      <c r="B112" s="34" t="s">
        <v>62</v>
      </c>
      <c r="C112" s="34" t="s">
        <v>101</v>
      </c>
      <c r="D112" s="34" t="s">
        <v>102</v>
      </c>
      <c r="E112" s="34" t="s">
        <v>178</v>
      </c>
      <c r="F112" s="34" t="s">
        <v>52</v>
      </c>
      <c r="G112" s="34" t="s">
        <v>212</v>
      </c>
      <c r="H112" s="34" t="s">
        <v>104</v>
      </c>
      <c r="I112" s="35">
        <v>3160</v>
      </c>
      <c r="J112" s="24"/>
      <c r="K112" s="24"/>
      <c r="L112" s="24"/>
      <c r="M112" s="24"/>
      <c r="N112" s="24"/>
      <c r="O112" s="24"/>
      <c r="P112" s="24"/>
      <c r="Q112" s="24">
        <f>I112</f>
        <v>3160</v>
      </c>
    </row>
    <row r="113" spans="1:17" ht="22.5">
      <c r="A113" s="41" t="s">
        <v>213</v>
      </c>
      <c r="B113" s="34" t="s">
        <v>62</v>
      </c>
      <c r="C113" s="34" t="s">
        <v>101</v>
      </c>
      <c r="D113" s="34" t="s">
        <v>102</v>
      </c>
      <c r="E113" s="34" t="s">
        <v>178</v>
      </c>
      <c r="F113" s="34" t="s">
        <v>52</v>
      </c>
      <c r="G113" s="34" t="s">
        <v>214</v>
      </c>
      <c r="H113" s="34" t="s">
        <v>104</v>
      </c>
      <c r="I113" s="35"/>
      <c r="J113" s="24"/>
      <c r="K113" s="24"/>
      <c r="L113" s="24"/>
      <c r="M113" s="24"/>
      <c r="N113" s="24"/>
      <c r="O113" s="24">
        <v>970</v>
      </c>
      <c r="P113" s="24"/>
      <c r="Q113" s="24">
        <f>O113</f>
        <v>970</v>
      </c>
    </row>
    <row r="114" spans="1:17" ht="12.75">
      <c r="A114" s="18" t="s">
        <v>215</v>
      </c>
      <c r="B114" s="31" t="s">
        <v>62</v>
      </c>
      <c r="C114" s="31" t="s">
        <v>101</v>
      </c>
      <c r="D114" s="31" t="s">
        <v>102</v>
      </c>
      <c r="E114" s="31" t="s">
        <v>216</v>
      </c>
      <c r="F114" s="31" t="s">
        <v>52</v>
      </c>
      <c r="G114" s="31" t="s">
        <v>151</v>
      </c>
      <c r="H114" s="31" t="s">
        <v>104</v>
      </c>
      <c r="I114" s="32">
        <f>I115+I116+I118+I119+I120</f>
        <v>3900</v>
      </c>
      <c r="J114" s="32">
        <f>J115+J116+J118+J119+J120</f>
        <v>14619.252</v>
      </c>
      <c r="K114" s="32">
        <f>K115+K116+K118+K119+K120</f>
        <v>0</v>
      </c>
      <c r="L114" s="32">
        <f>L115+L116+L118+L119+L120</f>
        <v>0</v>
      </c>
      <c r="M114" s="32">
        <f>M115+M116+M118+M119+M120+M121</f>
        <v>0</v>
      </c>
      <c r="N114" s="32">
        <f>N115+N116+N118+N119+N120+N121</f>
        <v>114.754</v>
      </c>
      <c r="O114" s="32">
        <f>O115+O116+O118+O119+O120+O121</f>
        <v>273.75947999999994</v>
      </c>
      <c r="P114" s="32">
        <f>P115+P116+P118+P119+P120+P121</f>
        <v>0</v>
      </c>
      <c r="Q114" s="32">
        <f>Q115+Q116+Q118+Q119+Q120+Q121+Q117</f>
        <v>20817.765480000002</v>
      </c>
    </row>
    <row r="115" spans="1:17" ht="56.25">
      <c r="A115" s="21" t="s">
        <v>217</v>
      </c>
      <c r="B115" s="34" t="s">
        <v>62</v>
      </c>
      <c r="C115" s="34" t="s">
        <v>101</v>
      </c>
      <c r="D115" s="34" t="s">
        <v>102</v>
      </c>
      <c r="E115" s="34" t="s">
        <v>218</v>
      </c>
      <c r="F115" s="34" t="s">
        <v>66</v>
      </c>
      <c r="G115" s="34" t="s">
        <v>219</v>
      </c>
      <c r="H115" s="34" t="s">
        <v>104</v>
      </c>
      <c r="I115" s="35">
        <v>3900</v>
      </c>
      <c r="J115" s="24"/>
      <c r="K115" s="24"/>
      <c r="L115" s="24"/>
      <c r="M115" s="24"/>
      <c r="N115" s="24"/>
      <c r="O115" s="24"/>
      <c r="P115" s="24"/>
      <c r="Q115" s="24">
        <f>I115+J115</f>
        <v>3900</v>
      </c>
    </row>
    <row r="116" spans="1:17" ht="45" hidden="1">
      <c r="A116" s="33" t="s">
        <v>220</v>
      </c>
      <c r="B116" s="34" t="s">
        <v>62</v>
      </c>
      <c r="C116" s="34" t="s">
        <v>101</v>
      </c>
      <c r="D116" s="34" t="s">
        <v>102</v>
      </c>
      <c r="E116" s="34" t="s">
        <v>218</v>
      </c>
      <c r="F116" s="34" t="s">
        <v>66</v>
      </c>
      <c r="G116" s="34" t="s">
        <v>67</v>
      </c>
      <c r="H116" s="34" t="s">
        <v>104</v>
      </c>
      <c r="I116" s="35"/>
      <c r="J116" s="24"/>
      <c r="K116" s="24"/>
      <c r="L116" s="24"/>
      <c r="M116" s="24"/>
      <c r="N116" s="24"/>
      <c r="O116" s="24"/>
      <c r="P116" s="24"/>
      <c r="Q116" s="24">
        <f>I116+J116</f>
        <v>0</v>
      </c>
    </row>
    <row r="117" spans="1:17" ht="67.5">
      <c r="A117" s="33" t="s">
        <v>221</v>
      </c>
      <c r="B117" s="34" t="s">
        <v>62</v>
      </c>
      <c r="C117" s="34" t="s">
        <v>101</v>
      </c>
      <c r="D117" s="34" t="s">
        <v>102</v>
      </c>
      <c r="E117" s="34" t="s">
        <v>218</v>
      </c>
      <c r="F117" s="34" t="s">
        <v>66</v>
      </c>
      <c r="G117" s="34" t="s">
        <v>67</v>
      </c>
      <c r="H117" s="34" t="s">
        <v>104</v>
      </c>
      <c r="I117" s="35"/>
      <c r="J117" s="24"/>
      <c r="K117" s="24"/>
      <c r="L117" s="24"/>
      <c r="M117" s="24"/>
      <c r="N117" s="24">
        <v>1910</v>
      </c>
      <c r="O117" s="24"/>
      <c r="P117" s="24"/>
      <c r="Q117" s="24">
        <f>I117+J117+K117+N117</f>
        <v>1910</v>
      </c>
    </row>
    <row r="118" spans="1:17" ht="56.25">
      <c r="A118" s="21" t="s">
        <v>222</v>
      </c>
      <c r="B118" s="34" t="s">
        <v>62</v>
      </c>
      <c r="C118" s="34" t="s">
        <v>101</v>
      </c>
      <c r="D118" s="34" t="s">
        <v>102</v>
      </c>
      <c r="E118" s="34" t="s">
        <v>223</v>
      </c>
      <c r="F118" s="34" t="s">
        <v>66</v>
      </c>
      <c r="G118" s="34" t="s">
        <v>67</v>
      </c>
      <c r="H118" s="34" t="s">
        <v>104</v>
      </c>
      <c r="I118" s="35"/>
      <c r="J118" s="24">
        <v>14619.252</v>
      </c>
      <c r="K118" s="24"/>
      <c r="L118" s="24"/>
      <c r="M118" s="24"/>
      <c r="N118" s="24"/>
      <c r="O118" s="24">
        <v>-54.6</v>
      </c>
      <c r="P118" s="24"/>
      <c r="Q118" s="24">
        <f>I118+J118+O118</f>
        <v>14564.652</v>
      </c>
    </row>
    <row r="119" spans="1:17" ht="78.75" hidden="1">
      <c r="A119" s="21" t="s">
        <v>224</v>
      </c>
      <c r="B119" s="34" t="s">
        <v>62</v>
      </c>
      <c r="C119" s="34" t="s">
        <v>101</v>
      </c>
      <c r="D119" s="34" t="s">
        <v>102</v>
      </c>
      <c r="E119" s="34" t="s">
        <v>225</v>
      </c>
      <c r="F119" s="34" t="s">
        <v>66</v>
      </c>
      <c r="G119" s="34" t="s">
        <v>67</v>
      </c>
      <c r="H119" s="34" t="s">
        <v>104</v>
      </c>
      <c r="I119" s="35"/>
      <c r="J119" s="24"/>
      <c r="K119" s="24"/>
      <c r="L119" s="24"/>
      <c r="M119" s="44"/>
      <c r="N119" s="44"/>
      <c r="O119" s="44"/>
      <c r="P119" s="44"/>
      <c r="Q119" s="24">
        <f>I119+J119</f>
        <v>0</v>
      </c>
    </row>
    <row r="120" spans="1:17" ht="56.25" hidden="1">
      <c r="A120" s="33" t="s">
        <v>226</v>
      </c>
      <c r="B120" s="34" t="s">
        <v>62</v>
      </c>
      <c r="C120" s="34" t="s">
        <v>101</v>
      </c>
      <c r="D120" s="34" t="s">
        <v>102</v>
      </c>
      <c r="E120" s="34" t="s">
        <v>223</v>
      </c>
      <c r="F120" s="34" t="s">
        <v>66</v>
      </c>
      <c r="G120" s="34" t="s">
        <v>67</v>
      </c>
      <c r="H120" s="34" t="s">
        <v>104</v>
      </c>
      <c r="I120" s="35"/>
      <c r="J120" s="24"/>
      <c r="K120" s="24"/>
      <c r="L120" s="24"/>
      <c r="M120" s="44"/>
      <c r="N120" s="44"/>
      <c r="O120" s="44"/>
      <c r="P120" s="44"/>
      <c r="Q120" s="24">
        <f>I120+J120</f>
        <v>0</v>
      </c>
    </row>
    <row r="121" spans="1:17" ht="45">
      <c r="A121" s="21" t="s">
        <v>227</v>
      </c>
      <c r="B121" s="34" t="s">
        <v>62</v>
      </c>
      <c r="C121" s="34" t="s">
        <v>101</v>
      </c>
      <c r="D121" s="34" t="s">
        <v>102</v>
      </c>
      <c r="E121" s="34" t="s">
        <v>228</v>
      </c>
      <c r="F121" s="34" t="s">
        <v>66</v>
      </c>
      <c r="G121" s="34" t="s">
        <v>67</v>
      </c>
      <c r="H121" s="34" t="s">
        <v>104</v>
      </c>
      <c r="I121" s="35"/>
      <c r="J121" s="24"/>
      <c r="K121" s="24"/>
      <c r="L121" s="24"/>
      <c r="M121" s="44"/>
      <c r="N121" s="24">
        <v>114.754</v>
      </c>
      <c r="O121" s="45">
        <f>275.409+7.65+45.30048</f>
        <v>328.35947999999996</v>
      </c>
      <c r="P121" s="45"/>
      <c r="Q121" s="45">
        <f>L121+M121+N121+O121</f>
        <v>443.11348</v>
      </c>
    </row>
    <row r="122" spans="1:17" ht="12.75">
      <c r="A122" s="18" t="s">
        <v>229</v>
      </c>
      <c r="B122" s="28"/>
      <c r="C122" s="28"/>
      <c r="D122" s="28"/>
      <c r="E122" s="28"/>
      <c r="F122" s="28"/>
      <c r="G122" s="28"/>
      <c r="H122" s="28"/>
      <c r="I122" s="20">
        <f aca="true" t="shared" si="7" ref="I122:Q122">I53+I16</f>
        <v>1317677.668</v>
      </c>
      <c r="J122" s="20">
        <f t="shared" si="7"/>
        <v>21602.052</v>
      </c>
      <c r="K122" s="20">
        <f t="shared" si="7"/>
        <v>15711.22</v>
      </c>
      <c r="L122" s="20">
        <f>L53+L16</f>
        <v>24236.699999999997</v>
      </c>
      <c r="M122" s="20">
        <f t="shared" si="7"/>
        <v>2621</v>
      </c>
      <c r="N122" s="20">
        <f t="shared" si="7"/>
        <v>-37117.329000000005</v>
      </c>
      <c r="O122" s="20">
        <f t="shared" si="7"/>
        <v>17006.64548</v>
      </c>
      <c r="P122" s="20">
        <f t="shared" si="7"/>
        <v>42999.507000000005</v>
      </c>
      <c r="Q122" s="46">
        <f t="shared" si="7"/>
        <v>1404737.46348</v>
      </c>
    </row>
    <row r="123" spans="1:12" ht="12.75">
      <c r="A123" s="9"/>
      <c r="B123" s="9"/>
      <c r="C123" s="9"/>
      <c r="D123" s="9"/>
      <c r="E123" s="9"/>
      <c r="F123" s="9"/>
      <c r="G123" s="9"/>
      <c r="H123" s="9"/>
      <c r="I123" s="47"/>
      <c r="L123" s="48"/>
    </row>
    <row r="124" spans="1:12" ht="12.75">
      <c r="A124" s="49" t="s">
        <v>230</v>
      </c>
      <c r="B124" s="50"/>
      <c r="C124" s="50"/>
      <c r="D124" s="50"/>
      <c r="E124" s="50"/>
      <c r="F124" s="51"/>
      <c r="G124" s="9"/>
      <c r="H124" s="9"/>
      <c r="I124" s="47"/>
      <c r="J124" s="29"/>
      <c r="K124" s="29"/>
      <c r="L124" s="48"/>
    </row>
    <row r="125" spans="1:12" ht="12.75">
      <c r="A125" s="52" t="s">
        <v>231</v>
      </c>
      <c r="B125" s="50"/>
      <c r="C125" s="50"/>
      <c r="D125" s="50"/>
      <c r="E125" s="50"/>
      <c r="F125" s="50"/>
      <c r="G125" s="9" t="s">
        <v>232</v>
      </c>
      <c r="H125" s="9"/>
      <c r="I125" s="9"/>
      <c r="L125" s="48"/>
    </row>
    <row r="126" spans="1:16" ht="12.75">
      <c r="A126" s="9"/>
      <c r="B126" s="9"/>
      <c r="C126" s="9"/>
      <c r="D126" s="9"/>
      <c r="E126" s="9"/>
      <c r="F126" s="9"/>
      <c r="G126" s="9"/>
      <c r="H126" s="9"/>
      <c r="I126" s="9"/>
      <c r="K126" s="29"/>
      <c r="L126" s="53"/>
      <c r="M126" s="29"/>
      <c r="N126" s="29"/>
      <c r="O126" s="29"/>
      <c r="P126" s="29"/>
    </row>
    <row r="127" ht="12.75">
      <c r="L127" s="48"/>
    </row>
    <row r="128" ht="12.75">
      <c r="L128" s="48"/>
    </row>
    <row r="129" ht="12.75">
      <c r="L129" s="48"/>
    </row>
    <row r="130" ht="12.75">
      <c r="L130" s="48"/>
    </row>
    <row r="131" ht="12.75">
      <c r="L131" s="48"/>
    </row>
    <row r="132" ht="12.75">
      <c r="L132" s="48"/>
    </row>
    <row r="133" ht="12.75">
      <c r="L133" s="48"/>
    </row>
    <row r="134" ht="12.75">
      <c r="L134" s="48"/>
    </row>
    <row r="135" ht="12.75">
      <c r="L135" s="48"/>
    </row>
    <row r="136" ht="12.75">
      <c r="L136" s="48"/>
    </row>
    <row r="137" ht="12.75">
      <c r="L137" s="48"/>
    </row>
    <row r="138" ht="12.75">
      <c r="L138" s="48"/>
    </row>
    <row r="139" ht="12.75">
      <c r="L139" s="48"/>
    </row>
    <row r="140" ht="12.75">
      <c r="L140" s="48"/>
    </row>
    <row r="141" ht="12.75">
      <c r="L141" s="48"/>
    </row>
    <row r="142" spans="1:12" ht="12.75">
      <c r="A142" s="54"/>
      <c r="B142" s="54"/>
      <c r="C142" s="54"/>
      <c r="L142" s="48"/>
    </row>
    <row r="143" spans="1:12" ht="12.75">
      <c r="A143" s="54"/>
      <c r="B143" s="54"/>
      <c r="C143" s="54"/>
      <c r="L143" s="48"/>
    </row>
    <row r="144" spans="1:12" ht="12.75">
      <c r="A144" s="54"/>
      <c r="B144" s="54"/>
      <c r="C144" s="54"/>
      <c r="L144" s="48"/>
    </row>
    <row r="145" spans="1:12" ht="12.75">
      <c r="A145" s="54"/>
      <c r="B145" s="54"/>
      <c r="C145" s="54"/>
      <c r="L145" s="48"/>
    </row>
    <row r="146" spans="1:12" ht="12.75">
      <c r="A146" s="54"/>
      <c r="B146" s="54"/>
      <c r="C146" s="54"/>
      <c r="L146" s="48"/>
    </row>
    <row r="147" spans="1:12" ht="12.75">
      <c r="A147" s="54"/>
      <c r="B147" s="54"/>
      <c r="C147" s="54"/>
      <c r="L147" s="48"/>
    </row>
    <row r="148" spans="1:3" ht="12.75">
      <c r="A148" s="54"/>
      <c r="B148" s="54"/>
      <c r="C148" s="54"/>
    </row>
    <row r="149" spans="1:3" ht="12.75">
      <c r="A149" s="54"/>
      <c r="B149" s="54"/>
      <c r="C149" s="54"/>
    </row>
    <row r="150" spans="1:3" ht="12.75">
      <c r="A150" s="54"/>
      <c r="B150" s="54"/>
      <c r="C150" s="54"/>
    </row>
    <row r="151" spans="1:3" ht="12.75">
      <c r="A151" s="54"/>
      <c r="B151" s="54"/>
      <c r="C151" s="54"/>
    </row>
    <row r="152" spans="1:3" ht="12.75">
      <c r="A152" s="54"/>
      <c r="B152" s="54"/>
      <c r="C152" s="54"/>
    </row>
    <row r="153" spans="1:3" ht="12.75">
      <c r="A153" s="54"/>
      <c r="B153" s="54"/>
      <c r="C153" s="54"/>
    </row>
    <row r="154" spans="1:3" ht="12.75">
      <c r="A154" s="54"/>
      <c r="B154" s="54"/>
      <c r="C154" s="54"/>
    </row>
    <row r="155" spans="1:3" ht="12.75">
      <c r="A155" s="54"/>
      <c r="B155" s="54"/>
      <c r="C155" s="54"/>
    </row>
    <row r="156" spans="1:3" ht="12.75">
      <c r="A156" s="54"/>
      <c r="B156" s="54"/>
      <c r="C156" s="54"/>
    </row>
    <row r="157" spans="1:3" ht="12.75">
      <c r="A157" s="54"/>
      <c r="B157" s="54"/>
      <c r="C157" s="54"/>
    </row>
    <row r="158" spans="1:3" ht="12.75">
      <c r="A158" s="54"/>
      <c r="B158" s="54"/>
      <c r="C158" s="54"/>
    </row>
    <row r="159" spans="1:3" ht="12.75">
      <c r="A159" s="54"/>
      <c r="B159" s="54"/>
      <c r="C159" s="54"/>
    </row>
    <row r="160" spans="1:3" ht="12.75">
      <c r="A160" s="54"/>
      <c r="B160" s="54"/>
      <c r="C160" s="54"/>
    </row>
    <row r="161" spans="1:3" ht="12.75">
      <c r="A161" s="54"/>
      <c r="B161" s="54"/>
      <c r="C161" s="54"/>
    </row>
    <row r="162" spans="1:3" ht="12.75">
      <c r="A162" s="54"/>
      <c r="B162" s="54"/>
      <c r="C162" s="54"/>
    </row>
    <row r="163" spans="1:3" ht="12.75">
      <c r="A163" s="54"/>
      <c r="B163" s="54"/>
      <c r="C163" s="54"/>
    </row>
    <row r="164" spans="1:3" ht="12.75">
      <c r="A164" s="54"/>
      <c r="B164" s="54"/>
      <c r="C164" s="54"/>
    </row>
    <row r="165" spans="1:3" ht="12.75">
      <c r="A165" s="54"/>
      <c r="B165" s="54"/>
      <c r="C165" s="54"/>
    </row>
    <row r="166" spans="1:3" ht="12.75">
      <c r="A166" s="54"/>
      <c r="B166" s="54"/>
      <c r="C166" s="54"/>
    </row>
    <row r="167" spans="1:3" ht="12.75">
      <c r="A167" s="54"/>
      <c r="B167" s="54"/>
      <c r="C167" s="54"/>
    </row>
    <row r="168" spans="1:3" ht="12.75">
      <c r="A168" s="54"/>
      <c r="B168" s="54"/>
      <c r="C168" s="54"/>
    </row>
  </sheetData>
  <sheetProtection/>
  <mergeCells count="12">
    <mergeCell ref="A1:Q1"/>
    <mergeCell ref="A2:Q2"/>
    <mergeCell ref="A3:Q3"/>
    <mergeCell ref="A4:Q4"/>
    <mergeCell ref="B14:H14"/>
    <mergeCell ref="B15:H15"/>
    <mergeCell ref="A12:Q12"/>
    <mergeCell ref="A5:Q5"/>
    <mergeCell ref="B10:Q10"/>
    <mergeCell ref="B7:Q7"/>
    <mergeCell ref="B8:Q8"/>
    <mergeCell ref="B9:Q9"/>
  </mergeCells>
  <printOptions/>
  <pageMargins left="0.7874015748031497" right="0.7874015748031497" top="0.7874015748031497" bottom="0.7874015748031497" header="0" footer="0"/>
  <pageSetup fitToHeight="7" fitToWidth="1" horizontalDpi="600" verticalDpi="600" orientation="portrait" paperSize="9" scale="97" r:id="rId1"/>
  <colBreaks count="1" manualBreakCount="1">
    <brk id="17" max="1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0"/>
  <sheetViews>
    <sheetView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A21" sqref="AA21"/>
    </sheetView>
  </sheetViews>
  <sheetFormatPr defaultColWidth="9.00390625" defaultRowHeight="12.75"/>
  <cols>
    <col min="1" max="1" width="39.25390625" style="0" customWidth="1"/>
    <col min="2" max="2" width="6.875" style="0" customWidth="1"/>
    <col min="3" max="3" width="5.125" style="0" customWidth="1"/>
    <col min="4" max="4" width="5.75390625" style="0" customWidth="1"/>
    <col min="6" max="6" width="6.25390625" style="0" customWidth="1"/>
    <col min="7" max="7" width="12.125" style="0" hidden="1" customWidth="1"/>
    <col min="8" max="10" width="11.75390625" style="0" hidden="1" customWidth="1"/>
    <col min="11" max="11" width="11.75390625" style="48" hidden="1" customWidth="1"/>
    <col min="12" max="13" width="11.75390625" style="0" hidden="1" customWidth="1"/>
    <col min="14" max="14" width="13.25390625" style="0" hidden="1" customWidth="1"/>
    <col min="15" max="15" width="11.75390625" style="0" hidden="1" customWidth="1"/>
    <col min="16" max="22" width="12.875" style="0" hidden="1" customWidth="1"/>
    <col min="23" max="23" width="14.625" style="0" customWidth="1"/>
    <col min="25" max="25" width="13.25390625" style="0" bestFit="1" customWidth="1"/>
  </cols>
  <sheetData>
    <row r="1" spans="1:23" ht="12.75">
      <c r="A1" s="135" t="s">
        <v>233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1:23" ht="12.75">
      <c r="A2" s="135" t="s">
        <v>557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</row>
    <row r="3" spans="1:23" ht="12.75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</row>
    <row r="4" spans="1:23" ht="12.75">
      <c r="A4" s="134" t="s">
        <v>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</row>
    <row r="5" spans="1:23" ht="12.75">
      <c r="A5" s="134" t="s">
        <v>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</row>
    <row r="6" spans="5:23" ht="15.75">
      <c r="E6" s="55"/>
      <c r="F6" s="55"/>
      <c r="G6" s="55"/>
      <c r="H6" s="55"/>
      <c r="I6" s="55"/>
      <c r="J6" s="55"/>
      <c r="K6" s="56"/>
      <c r="L6" s="55"/>
      <c r="M6" s="57"/>
      <c r="N6" s="57"/>
      <c r="O6" s="55"/>
      <c r="P6" s="55"/>
      <c r="Q6" s="55"/>
      <c r="R6" s="55"/>
      <c r="S6" s="55"/>
      <c r="T6" s="55"/>
      <c r="U6" s="55"/>
      <c r="V6" s="55"/>
      <c r="W6" s="55"/>
    </row>
    <row r="7" spans="1:23" ht="12.75">
      <c r="A7" s="134" t="s">
        <v>234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</row>
    <row r="8" spans="1:23" ht="12.75">
      <c r="A8" s="134" t="s">
        <v>235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</row>
    <row r="9" spans="1:23" ht="12.75">
      <c r="A9" s="134" t="s">
        <v>6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</row>
    <row r="10" spans="1:23" ht="12.75">
      <c r="A10" s="134" t="s">
        <v>3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</row>
    <row r="11" spans="1:23" ht="12.75">
      <c r="A11" s="58"/>
      <c r="B11" s="58"/>
      <c r="C11" s="58"/>
      <c r="D11" s="58"/>
      <c r="E11" s="58"/>
      <c r="F11" s="58"/>
      <c r="G11" s="58"/>
      <c r="H11" s="59"/>
      <c r="I11" s="59"/>
      <c r="J11" s="59"/>
      <c r="K11" s="60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</row>
    <row r="12" spans="1:23" ht="12.75">
      <c r="A12" s="136" t="s">
        <v>236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</row>
    <row r="13" spans="1:23" ht="12.75">
      <c r="A13" s="136" t="s">
        <v>237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</row>
    <row r="14" spans="1:23" ht="12.75" customHeight="1">
      <c r="A14" s="137" t="s">
        <v>238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</row>
    <row r="15" spans="1:7" ht="12.75">
      <c r="A15" s="136"/>
      <c r="B15" s="136"/>
      <c r="C15" s="136"/>
      <c r="D15" s="136"/>
      <c r="E15" s="136"/>
      <c r="F15" s="136"/>
      <c r="G15" s="136"/>
    </row>
    <row r="16" spans="1:23" ht="12.75">
      <c r="A16" s="61"/>
      <c r="B16" s="62"/>
      <c r="C16" s="62"/>
      <c r="D16" s="62"/>
      <c r="E16" s="62"/>
      <c r="F16" s="63"/>
      <c r="G16" s="64"/>
      <c r="W16" s="64" t="s">
        <v>239</v>
      </c>
    </row>
    <row r="17" spans="1:23" ht="85.5" customHeight="1">
      <c r="A17" s="65" t="s">
        <v>240</v>
      </c>
      <c r="B17" s="66" t="s">
        <v>241</v>
      </c>
      <c r="C17" s="67" t="s">
        <v>242</v>
      </c>
      <c r="D17" s="67" t="s">
        <v>243</v>
      </c>
      <c r="E17" s="67" t="s">
        <v>244</v>
      </c>
      <c r="F17" s="67" t="s">
        <v>245</v>
      </c>
      <c r="G17" s="68" t="s">
        <v>246</v>
      </c>
      <c r="H17" s="14" t="s">
        <v>247</v>
      </c>
      <c r="I17" s="69" t="s">
        <v>248</v>
      </c>
      <c r="J17" s="69" t="s">
        <v>249</v>
      </c>
      <c r="K17" s="69" t="s">
        <v>250</v>
      </c>
      <c r="L17" s="69" t="s">
        <v>251</v>
      </c>
      <c r="M17" s="14" t="s">
        <v>252</v>
      </c>
      <c r="N17" s="14" t="s">
        <v>253</v>
      </c>
      <c r="O17" s="14" t="s">
        <v>254</v>
      </c>
      <c r="P17" s="14" t="s">
        <v>255</v>
      </c>
      <c r="Q17" s="14" t="s">
        <v>16</v>
      </c>
      <c r="R17" s="14" t="s">
        <v>16</v>
      </c>
      <c r="S17" s="14" t="s">
        <v>549</v>
      </c>
      <c r="T17" s="14" t="s">
        <v>550</v>
      </c>
      <c r="U17" s="14" t="s">
        <v>256</v>
      </c>
      <c r="V17" s="14" t="s">
        <v>552</v>
      </c>
      <c r="W17" s="68" t="s">
        <v>246</v>
      </c>
    </row>
    <row r="18" spans="1:23" ht="12.75">
      <c r="A18" s="65">
        <v>1</v>
      </c>
      <c r="B18" s="67">
        <v>2</v>
      </c>
      <c r="C18" s="67">
        <v>3</v>
      </c>
      <c r="D18" s="67">
        <v>4</v>
      </c>
      <c r="E18" s="67">
        <v>5</v>
      </c>
      <c r="F18" s="68">
        <v>6</v>
      </c>
      <c r="G18" s="70">
        <v>7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0">
        <v>7</v>
      </c>
    </row>
    <row r="19" spans="1:23" ht="12.75">
      <c r="A19" s="72" t="s">
        <v>257</v>
      </c>
      <c r="B19" s="72"/>
      <c r="C19" s="72"/>
      <c r="D19" s="72"/>
      <c r="E19" s="72"/>
      <c r="F19" s="72"/>
      <c r="G19" s="20">
        <f aca="true" t="shared" si="0" ref="G19:W19">G335</f>
        <v>1317677.6679999998</v>
      </c>
      <c r="H19" s="20">
        <f t="shared" si="0"/>
        <v>31757.800000000003</v>
      </c>
      <c r="I19" s="20">
        <f t="shared" si="0"/>
        <v>21602.052</v>
      </c>
      <c r="J19" s="20">
        <f t="shared" si="0"/>
        <v>0</v>
      </c>
      <c r="K19" s="20">
        <f t="shared" si="0"/>
        <v>22093.421</v>
      </c>
      <c r="L19" s="20">
        <f t="shared" si="0"/>
        <v>0</v>
      </c>
      <c r="M19" s="20">
        <f t="shared" si="0"/>
        <v>24236.7</v>
      </c>
      <c r="N19" s="20">
        <f t="shared" si="0"/>
        <v>-4.547473508864641E-13</v>
      </c>
      <c r="O19" s="20">
        <f t="shared" si="0"/>
        <v>5945.4</v>
      </c>
      <c r="P19" s="20">
        <f t="shared" si="0"/>
        <v>-3.410605131648481E-13</v>
      </c>
      <c r="Q19" s="20">
        <f t="shared" si="0"/>
        <v>-37117.329000000005</v>
      </c>
      <c r="R19" s="20">
        <f t="shared" si="0"/>
        <v>0</v>
      </c>
      <c r="S19" s="20">
        <f t="shared" si="0"/>
        <v>6775.9</v>
      </c>
      <c r="T19" s="20">
        <f t="shared" si="0"/>
        <v>10230.745480000001</v>
      </c>
      <c r="U19" s="20">
        <f t="shared" si="0"/>
        <v>42999.507000000005</v>
      </c>
      <c r="V19" s="20">
        <f t="shared" si="0"/>
        <v>0</v>
      </c>
      <c r="W19" s="46">
        <f t="shared" si="0"/>
        <v>1446201.86448</v>
      </c>
    </row>
    <row r="20" spans="1:25" ht="12.75">
      <c r="A20" s="73" t="s">
        <v>258</v>
      </c>
      <c r="B20" s="74"/>
      <c r="C20" s="74" t="s">
        <v>91</v>
      </c>
      <c r="D20" s="74"/>
      <c r="E20" s="74"/>
      <c r="F20" s="74"/>
      <c r="G20" s="20">
        <f aca="true" t="shared" si="1" ref="G20:N20">G21+G25+G28+G34+G37+G40+G43</f>
        <v>30303.7</v>
      </c>
      <c r="H20" s="20">
        <f t="shared" si="1"/>
        <v>100</v>
      </c>
      <c r="I20" s="20">
        <f t="shared" si="1"/>
        <v>0</v>
      </c>
      <c r="J20" s="20">
        <f t="shared" si="1"/>
        <v>0</v>
      </c>
      <c r="K20" s="20">
        <f t="shared" si="1"/>
        <v>153</v>
      </c>
      <c r="L20" s="20">
        <f t="shared" si="1"/>
        <v>0</v>
      </c>
      <c r="M20" s="20">
        <f t="shared" si="1"/>
        <v>0</v>
      </c>
      <c r="N20" s="20">
        <f t="shared" si="1"/>
        <v>-153</v>
      </c>
      <c r="O20" s="20"/>
      <c r="P20" s="20">
        <f aca="true" t="shared" si="2" ref="P20:W20">P21+P25+P28+P34+P37+P40+P43</f>
        <v>-187.4000000000001</v>
      </c>
      <c r="Q20" s="20">
        <f t="shared" si="2"/>
        <v>100</v>
      </c>
      <c r="R20" s="20">
        <f t="shared" si="2"/>
        <v>-1417</v>
      </c>
      <c r="S20" s="20">
        <f t="shared" si="2"/>
        <v>1700</v>
      </c>
      <c r="T20" s="20">
        <f t="shared" si="2"/>
        <v>975.386</v>
      </c>
      <c r="U20" s="20">
        <f t="shared" si="2"/>
        <v>0</v>
      </c>
      <c r="V20" s="20">
        <f t="shared" si="2"/>
        <v>-15.5</v>
      </c>
      <c r="W20" s="46">
        <f t="shared" si="2"/>
        <v>31559.186</v>
      </c>
      <c r="Y20" s="29"/>
    </row>
    <row r="21" spans="1:23" ht="38.25">
      <c r="A21" s="73" t="s">
        <v>259</v>
      </c>
      <c r="B21" s="74"/>
      <c r="C21" s="74" t="s">
        <v>260</v>
      </c>
      <c r="D21" s="74" t="s">
        <v>261</v>
      </c>
      <c r="E21" s="74"/>
      <c r="F21" s="74"/>
      <c r="G21" s="20">
        <f>G22</f>
        <v>1204.9</v>
      </c>
      <c r="H21" s="20">
        <f>H22</f>
        <v>0</v>
      </c>
      <c r="I21" s="20">
        <f>I22</f>
        <v>0</v>
      </c>
      <c r="J21" s="20">
        <f>J22</f>
        <v>0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46">
        <f>W22</f>
        <v>1204.9</v>
      </c>
    </row>
    <row r="22" spans="1:23" ht="63.75">
      <c r="A22" s="75" t="s">
        <v>262</v>
      </c>
      <c r="B22" s="76" t="s">
        <v>62</v>
      </c>
      <c r="C22" s="76" t="s">
        <v>91</v>
      </c>
      <c r="D22" s="76" t="s">
        <v>102</v>
      </c>
      <c r="E22" s="76" t="s">
        <v>263</v>
      </c>
      <c r="F22" s="76"/>
      <c r="G22" s="23">
        <f>G23</f>
        <v>1204.9</v>
      </c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>
        <f>W23</f>
        <v>1204.9</v>
      </c>
    </row>
    <row r="23" spans="1:23" ht="12.75">
      <c r="A23" s="75" t="s">
        <v>264</v>
      </c>
      <c r="B23" s="76" t="s">
        <v>62</v>
      </c>
      <c r="C23" s="76" t="s">
        <v>91</v>
      </c>
      <c r="D23" s="76" t="s">
        <v>102</v>
      </c>
      <c r="E23" s="76" t="s">
        <v>265</v>
      </c>
      <c r="F23" s="76"/>
      <c r="G23" s="23">
        <f>G24</f>
        <v>1204.9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8">
        <f>W24</f>
        <v>1204.9</v>
      </c>
    </row>
    <row r="24" spans="1:23" ht="25.5">
      <c r="A24" s="75" t="s">
        <v>266</v>
      </c>
      <c r="B24" s="76" t="s">
        <v>62</v>
      </c>
      <c r="C24" s="76" t="s">
        <v>91</v>
      </c>
      <c r="D24" s="76" t="s">
        <v>102</v>
      </c>
      <c r="E24" s="76" t="s">
        <v>267</v>
      </c>
      <c r="F24" s="76">
        <v>500</v>
      </c>
      <c r="G24" s="23">
        <f>1204900/1000</f>
        <v>1204.9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>
        <f>G24+H24</f>
        <v>1204.9</v>
      </c>
    </row>
    <row r="25" spans="1:23" ht="51">
      <c r="A25" s="79" t="s">
        <v>268</v>
      </c>
      <c r="B25" s="74"/>
      <c r="C25" s="74" t="s">
        <v>91</v>
      </c>
      <c r="D25" s="74" t="s">
        <v>269</v>
      </c>
      <c r="E25" s="74"/>
      <c r="F25" s="74"/>
      <c r="G25" s="20">
        <f>G26</f>
        <v>23</v>
      </c>
      <c r="H25" s="20">
        <f>H26</f>
        <v>0</v>
      </c>
      <c r="I25" s="20">
        <f>I26</f>
        <v>0</v>
      </c>
      <c r="J25" s="20">
        <f>J26</f>
        <v>0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46">
        <f>W26</f>
        <v>23</v>
      </c>
    </row>
    <row r="26" spans="1:23" ht="12.75">
      <c r="A26" s="75" t="s">
        <v>270</v>
      </c>
      <c r="B26" s="76" t="s">
        <v>62</v>
      </c>
      <c r="C26" s="76" t="s">
        <v>91</v>
      </c>
      <c r="D26" s="76" t="s">
        <v>269</v>
      </c>
      <c r="E26" s="76" t="s">
        <v>271</v>
      </c>
      <c r="F26" s="76"/>
      <c r="G26" s="23">
        <f>G27</f>
        <v>23</v>
      </c>
      <c r="H26" s="23">
        <f>H27</f>
        <v>0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80">
        <f>W27</f>
        <v>23</v>
      </c>
    </row>
    <row r="27" spans="1:23" ht="38.25">
      <c r="A27" s="75" t="s">
        <v>272</v>
      </c>
      <c r="B27" s="76" t="s">
        <v>62</v>
      </c>
      <c r="C27" s="76" t="s">
        <v>91</v>
      </c>
      <c r="D27" s="76" t="s">
        <v>269</v>
      </c>
      <c r="E27" s="76" t="s">
        <v>271</v>
      </c>
      <c r="F27" s="76" t="s">
        <v>273</v>
      </c>
      <c r="G27" s="23">
        <f>23000/1000</f>
        <v>23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8">
        <f>G27+H27</f>
        <v>23</v>
      </c>
    </row>
    <row r="28" spans="1:23" ht="71.25">
      <c r="A28" s="81" t="s">
        <v>274</v>
      </c>
      <c r="B28" s="74"/>
      <c r="C28" s="74" t="s">
        <v>91</v>
      </c>
      <c r="D28" s="74" t="s">
        <v>275</v>
      </c>
      <c r="E28" s="74"/>
      <c r="F28" s="74"/>
      <c r="G28" s="20">
        <f aca="true" t="shared" si="3" ref="G28:K29">G29</f>
        <v>27082.6</v>
      </c>
      <c r="H28" s="20">
        <f t="shared" si="3"/>
        <v>0</v>
      </c>
      <c r="I28" s="20">
        <f t="shared" si="3"/>
        <v>0</v>
      </c>
      <c r="J28" s="20">
        <f t="shared" si="3"/>
        <v>-0.8</v>
      </c>
      <c r="K28" s="20">
        <f t="shared" si="3"/>
        <v>153</v>
      </c>
      <c r="L28" s="20"/>
      <c r="M28" s="20"/>
      <c r="N28" s="20">
        <f>N29</f>
        <v>-153</v>
      </c>
      <c r="O28" s="20"/>
      <c r="P28" s="20">
        <f aca="true" t="shared" si="4" ref="P28:W29">P29</f>
        <v>-1417</v>
      </c>
      <c r="Q28" s="20">
        <f t="shared" si="4"/>
        <v>100</v>
      </c>
      <c r="R28" s="20">
        <f t="shared" si="4"/>
        <v>0</v>
      </c>
      <c r="S28" s="20">
        <f t="shared" si="4"/>
        <v>1700</v>
      </c>
      <c r="T28" s="20">
        <f t="shared" si="4"/>
        <v>-115</v>
      </c>
      <c r="U28" s="20">
        <f t="shared" si="4"/>
        <v>0</v>
      </c>
      <c r="V28" s="20">
        <f t="shared" si="4"/>
        <v>94.5</v>
      </c>
      <c r="W28" s="46">
        <f t="shared" si="4"/>
        <v>27444.3</v>
      </c>
    </row>
    <row r="29" spans="1:23" ht="12.75">
      <c r="A29" s="75" t="s">
        <v>270</v>
      </c>
      <c r="B29" s="76" t="s">
        <v>62</v>
      </c>
      <c r="C29" s="76" t="s">
        <v>91</v>
      </c>
      <c r="D29" s="76" t="s">
        <v>275</v>
      </c>
      <c r="E29" s="76" t="s">
        <v>276</v>
      </c>
      <c r="F29" s="76"/>
      <c r="G29" s="23">
        <f t="shared" si="3"/>
        <v>27082.6</v>
      </c>
      <c r="H29" s="23">
        <f t="shared" si="3"/>
        <v>0</v>
      </c>
      <c r="I29" s="23">
        <f t="shared" si="3"/>
        <v>0</v>
      </c>
      <c r="J29" s="23">
        <f t="shared" si="3"/>
        <v>-0.8</v>
      </c>
      <c r="K29" s="23">
        <f t="shared" si="3"/>
        <v>153</v>
      </c>
      <c r="L29" s="23"/>
      <c r="M29" s="23"/>
      <c r="N29" s="23">
        <f>N30</f>
        <v>-153</v>
      </c>
      <c r="O29" s="23"/>
      <c r="P29" s="23">
        <f>P30</f>
        <v>-1417</v>
      </c>
      <c r="Q29" s="23">
        <f>Q30</f>
        <v>100</v>
      </c>
      <c r="R29" s="23"/>
      <c r="S29" s="23">
        <f>S30</f>
        <v>1700</v>
      </c>
      <c r="T29" s="23">
        <f>T30</f>
        <v>-115</v>
      </c>
      <c r="U29" s="23">
        <f t="shared" si="4"/>
        <v>0</v>
      </c>
      <c r="V29" s="23">
        <f t="shared" si="4"/>
        <v>94.5</v>
      </c>
      <c r="W29" s="80">
        <f>W30</f>
        <v>27444.3</v>
      </c>
    </row>
    <row r="30" spans="1:23" ht="38.25">
      <c r="A30" s="75" t="s">
        <v>272</v>
      </c>
      <c r="B30" s="76" t="s">
        <v>62</v>
      </c>
      <c r="C30" s="76" t="s">
        <v>91</v>
      </c>
      <c r="D30" s="76" t="s">
        <v>275</v>
      </c>
      <c r="E30" s="76" t="s">
        <v>277</v>
      </c>
      <c r="F30" s="76" t="s">
        <v>273</v>
      </c>
      <c r="G30" s="23">
        <f>27082600/1000</f>
        <v>27082.6</v>
      </c>
      <c r="H30" s="77"/>
      <c r="I30" s="77"/>
      <c r="J30" s="77">
        <v>-0.8</v>
      </c>
      <c r="K30" s="77">
        <f>153</f>
        <v>153</v>
      </c>
      <c r="L30" s="77"/>
      <c r="M30" s="77"/>
      <c r="N30" s="77">
        <v>-153</v>
      </c>
      <c r="O30" s="77"/>
      <c r="P30" s="77">
        <v>-1417</v>
      </c>
      <c r="Q30" s="77">
        <v>100</v>
      </c>
      <c r="R30" s="77"/>
      <c r="S30" s="77">
        <v>1700</v>
      </c>
      <c r="T30" s="77">
        <v>-115</v>
      </c>
      <c r="U30" s="77"/>
      <c r="V30" s="77">
        <v>94.5</v>
      </c>
      <c r="W30" s="78">
        <f>G30+H30+J30+K30+N30+L30+M30+O30+P30+Q30+T30+S30+V30</f>
        <v>27444.3</v>
      </c>
    </row>
    <row r="31" spans="1:23" ht="12.75" hidden="1">
      <c r="A31" s="73" t="s">
        <v>278</v>
      </c>
      <c r="B31" s="76"/>
      <c r="C31" s="74" t="s">
        <v>91</v>
      </c>
      <c r="D31" s="74" t="s">
        <v>66</v>
      </c>
      <c r="E31" s="74"/>
      <c r="F31" s="74"/>
      <c r="G31" s="20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8"/>
    </row>
    <row r="32" spans="1:23" ht="51" hidden="1">
      <c r="A32" s="75" t="s">
        <v>279</v>
      </c>
      <c r="B32" s="76" t="s">
        <v>62</v>
      </c>
      <c r="C32" s="76" t="s">
        <v>91</v>
      </c>
      <c r="D32" s="76" t="s">
        <v>66</v>
      </c>
      <c r="E32" s="76" t="s">
        <v>280</v>
      </c>
      <c r="F32" s="76"/>
      <c r="G32" s="23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</row>
    <row r="33" spans="1:23" ht="25.5" hidden="1">
      <c r="A33" s="75" t="s">
        <v>266</v>
      </c>
      <c r="B33" s="76" t="s">
        <v>62</v>
      </c>
      <c r="C33" s="76" t="s">
        <v>91</v>
      </c>
      <c r="D33" s="76" t="s">
        <v>66</v>
      </c>
      <c r="E33" s="76" t="s">
        <v>280</v>
      </c>
      <c r="F33" s="76">
        <v>500</v>
      </c>
      <c r="G33" s="23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8"/>
    </row>
    <row r="34" spans="1:23" ht="51">
      <c r="A34" s="82" t="s">
        <v>281</v>
      </c>
      <c r="B34" s="76"/>
      <c r="C34" s="74" t="s">
        <v>91</v>
      </c>
      <c r="D34" s="74" t="s">
        <v>282</v>
      </c>
      <c r="E34" s="76"/>
      <c r="F34" s="76"/>
      <c r="G34" s="83">
        <f>G35</f>
        <v>967</v>
      </c>
      <c r="H34" s="84">
        <f>H35</f>
        <v>0</v>
      </c>
      <c r="I34" s="84">
        <f>I35</f>
        <v>0</v>
      </c>
      <c r="J34" s="84">
        <f>J35</f>
        <v>0</v>
      </c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5">
        <f>W35</f>
        <v>967</v>
      </c>
    </row>
    <row r="35" spans="1:23" ht="38.25">
      <c r="A35" s="82" t="s">
        <v>283</v>
      </c>
      <c r="B35" s="76" t="s">
        <v>62</v>
      </c>
      <c r="C35" s="76" t="s">
        <v>91</v>
      </c>
      <c r="D35" s="76" t="s">
        <v>282</v>
      </c>
      <c r="E35" s="76" t="s">
        <v>284</v>
      </c>
      <c r="F35" s="76"/>
      <c r="G35" s="23">
        <f>G36</f>
        <v>967</v>
      </c>
      <c r="H35" s="23">
        <f>H36</f>
        <v>0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80">
        <f>W36</f>
        <v>967</v>
      </c>
    </row>
    <row r="36" spans="1:23" ht="25.5">
      <c r="A36" s="75" t="s">
        <v>266</v>
      </c>
      <c r="B36" s="76" t="s">
        <v>62</v>
      </c>
      <c r="C36" s="76" t="s">
        <v>91</v>
      </c>
      <c r="D36" s="76" t="s">
        <v>282</v>
      </c>
      <c r="E36" s="76" t="s">
        <v>284</v>
      </c>
      <c r="F36" s="76" t="s">
        <v>273</v>
      </c>
      <c r="G36" s="23">
        <f>967000/1000</f>
        <v>967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8">
        <f>G36+H36</f>
        <v>967</v>
      </c>
    </row>
    <row r="37" spans="1:23" ht="22.5" customHeight="1">
      <c r="A37" s="79" t="s">
        <v>285</v>
      </c>
      <c r="B37" s="74"/>
      <c r="C37" s="74" t="s">
        <v>91</v>
      </c>
      <c r="D37" s="74" t="s">
        <v>286</v>
      </c>
      <c r="E37" s="74"/>
      <c r="F37" s="74"/>
      <c r="G37" s="20">
        <f>G38</f>
        <v>50</v>
      </c>
      <c r="H37" s="20">
        <f>H38</f>
        <v>100</v>
      </c>
      <c r="I37" s="20">
        <f>I38</f>
        <v>0</v>
      </c>
      <c r="J37" s="20">
        <f>J38</f>
        <v>0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46">
        <f>W38</f>
        <v>150</v>
      </c>
    </row>
    <row r="38" spans="1:23" ht="12.75">
      <c r="A38" s="86" t="s">
        <v>270</v>
      </c>
      <c r="B38" s="76" t="s">
        <v>62</v>
      </c>
      <c r="C38" s="76" t="s">
        <v>91</v>
      </c>
      <c r="D38" s="76" t="s">
        <v>286</v>
      </c>
      <c r="E38" s="76" t="s">
        <v>271</v>
      </c>
      <c r="F38" s="76"/>
      <c r="G38" s="23">
        <f>G39</f>
        <v>50</v>
      </c>
      <c r="H38" s="23">
        <f>H39</f>
        <v>100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80">
        <f>W39</f>
        <v>150</v>
      </c>
    </row>
    <row r="39" spans="1:23" ht="25.5">
      <c r="A39" s="75" t="s">
        <v>266</v>
      </c>
      <c r="B39" s="76" t="s">
        <v>62</v>
      </c>
      <c r="C39" s="76" t="s">
        <v>91</v>
      </c>
      <c r="D39" s="76" t="s">
        <v>286</v>
      </c>
      <c r="E39" s="76" t="s">
        <v>271</v>
      </c>
      <c r="F39" s="76" t="s">
        <v>273</v>
      </c>
      <c r="G39" s="23">
        <f>50000/1000</f>
        <v>50</v>
      </c>
      <c r="H39" s="77">
        <f>100000/1000</f>
        <v>100</v>
      </c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8">
        <f>G39+H39</f>
        <v>150</v>
      </c>
    </row>
    <row r="40" spans="1:23" ht="12.75">
      <c r="A40" s="73" t="s">
        <v>287</v>
      </c>
      <c r="B40" s="76"/>
      <c r="C40" s="74" t="s">
        <v>91</v>
      </c>
      <c r="D40" s="74">
        <v>12</v>
      </c>
      <c r="E40" s="74"/>
      <c r="F40" s="74"/>
      <c r="G40" s="20">
        <f>G41</f>
        <v>500</v>
      </c>
      <c r="H40" s="20">
        <f aca="true" t="shared" si="5" ref="H40:V40">H41</f>
        <v>0</v>
      </c>
      <c r="I40" s="20">
        <f t="shared" si="5"/>
        <v>0</v>
      </c>
      <c r="J40" s="20">
        <f t="shared" si="5"/>
        <v>0</v>
      </c>
      <c r="K40" s="20">
        <f t="shared" si="5"/>
        <v>0</v>
      </c>
      <c r="L40" s="20">
        <f t="shared" si="5"/>
        <v>0</v>
      </c>
      <c r="M40" s="20">
        <f t="shared" si="5"/>
        <v>0</v>
      </c>
      <c r="N40" s="20">
        <f t="shared" si="5"/>
        <v>0</v>
      </c>
      <c r="O40" s="20">
        <f t="shared" si="5"/>
        <v>0</v>
      </c>
      <c r="P40" s="20">
        <f t="shared" si="5"/>
        <v>-350</v>
      </c>
      <c r="Q40" s="20">
        <f t="shared" si="5"/>
        <v>0</v>
      </c>
      <c r="R40" s="20">
        <f t="shared" si="5"/>
        <v>0</v>
      </c>
      <c r="S40" s="20">
        <f t="shared" si="5"/>
        <v>0</v>
      </c>
      <c r="T40" s="20">
        <f t="shared" si="5"/>
        <v>0</v>
      </c>
      <c r="U40" s="20">
        <f t="shared" si="5"/>
        <v>0</v>
      </c>
      <c r="V40" s="20">
        <f t="shared" si="5"/>
        <v>-110</v>
      </c>
      <c r="W40" s="46">
        <f>W41</f>
        <v>40</v>
      </c>
    </row>
    <row r="41" spans="1:23" ht="12.75">
      <c r="A41" s="75" t="s">
        <v>288</v>
      </c>
      <c r="B41" s="76" t="s">
        <v>62</v>
      </c>
      <c r="C41" s="76" t="s">
        <v>91</v>
      </c>
      <c r="D41" s="76">
        <v>12</v>
      </c>
      <c r="E41" s="76" t="s">
        <v>289</v>
      </c>
      <c r="F41" s="76"/>
      <c r="G41" s="23">
        <f>G42</f>
        <v>500</v>
      </c>
      <c r="H41" s="23">
        <f aca="true" t="shared" si="6" ref="H41:V41">H42</f>
        <v>0</v>
      </c>
      <c r="I41" s="23">
        <f t="shared" si="6"/>
        <v>0</v>
      </c>
      <c r="J41" s="23">
        <f t="shared" si="6"/>
        <v>0</v>
      </c>
      <c r="K41" s="23">
        <f t="shared" si="6"/>
        <v>0</v>
      </c>
      <c r="L41" s="23">
        <f t="shared" si="6"/>
        <v>0</v>
      </c>
      <c r="M41" s="23">
        <f t="shared" si="6"/>
        <v>0</v>
      </c>
      <c r="N41" s="23">
        <f t="shared" si="6"/>
        <v>0</v>
      </c>
      <c r="O41" s="23">
        <f t="shared" si="6"/>
        <v>0</v>
      </c>
      <c r="P41" s="23">
        <f t="shared" si="6"/>
        <v>-350</v>
      </c>
      <c r="Q41" s="23">
        <f t="shared" si="6"/>
        <v>0</v>
      </c>
      <c r="R41" s="23">
        <f t="shared" si="6"/>
        <v>0</v>
      </c>
      <c r="S41" s="23">
        <f t="shared" si="6"/>
        <v>0</v>
      </c>
      <c r="T41" s="23">
        <f t="shared" si="6"/>
        <v>0</v>
      </c>
      <c r="U41" s="23">
        <f t="shared" si="6"/>
        <v>0</v>
      </c>
      <c r="V41" s="23">
        <f t="shared" si="6"/>
        <v>-110</v>
      </c>
      <c r="W41" s="80">
        <f>W42</f>
        <v>40</v>
      </c>
    </row>
    <row r="42" spans="1:23" ht="12.75">
      <c r="A42" s="75" t="s">
        <v>290</v>
      </c>
      <c r="B42" s="76" t="s">
        <v>62</v>
      </c>
      <c r="C42" s="76" t="s">
        <v>91</v>
      </c>
      <c r="D42" s="76">
        <v>12</v>
      </c>
      <c r="E42" s="76" t="s">
        <v>289</v>
      </c>
      <c r="F42" s="76" t="s">
        <v>291</v>
      </c>
      <c r="G42" s="23">
        <f>500000/1000</f>
        <v>500</v>
      </c>
      <c r="H42" s="77"/>
      <c r="I42" s="77"/>
      <c r="J42" s="77"/>
      <c r="K42" s="77"/>
      <c r="L42" s="77"/>
      <c r="M42" s="77"/>
      <c r="N42" s="77"/>
      <c r="O42" s="77"/>
      <c r="P42" s="77">
        <f>-200-150</f>
        <v>-350</v>
      </c>
      <c r="Q42" s="77"/>
      <c r="R42" s="77"/>
      <c r="S42" s="77"/>
      <c r="T42" s="77"/>
      <c r="U42" s="77"/>
      <c r="V42" s="77">
        <v>-110</v>
      </c>
      <c r="W42" s="78">
        <f>500+P42+V42</f>
        <v>40</v>
      </c>
    </row>
    <row r="43" spans="1:23" ht="12.75">
      <c r="A43" s="87" t="s">
        <v>292</v>
      </c>
      <c r="B43" s="76"/>
      <c r="C43" s="74" t="s">
        <v>91</v>
      </c>
      <c r="D43" s="74">
        <v>14</v>
      </c>
      <c r="E43" s="74"/>
      <c r="F43" s="74"/>
      <c r="G43" s="88">
        <f>G54+G56</f>
        <v>476.2</v>
      </c>
      <c r="H43" s="88">
        <f>H54+H56</f>
        <v>0</v>
      </c>
      <c r="I43" s="88">
        <f>I54+I56</f>
        <v>0</v>
      </c>
      <c r="J43" s="88">
        <f>J54+J56+J48</f>
        <v>0.8</v>
      </c>
      <c r="K43" s="88"/>
      <c r="L43" s="88"/>
      <c r="M43" s="88"/>
      <c r="N43" s="88"/>
      <c r="O43" s="88"/>
      <c r="P43" s="88">
        <f>P46+P48</f>
        <v>1579.6</v>
      </c>
      <c r="Q43" s="88">
        <f>Q46+Q48</f>
        <v>0</v>
      </c>
      <c r="R43" s="88">
        <f>R46+R48</f>
        <v>-1417</v>
      </c>
      <c r="S43" s="88">
        <f>S46+S48</f>
        <v>0</v>
      </c>
      <c r="T43" s="88">
        <f>T46+T48+T44+T58</f>
        <v>1090.386</v>
      </c>
      <c r="U43" s="88">
        <f>U46+U48+U44+U58</f>
        <v>0</v>
      </c>
      <c r="V43" s="88"/>
      <c r="W43" s="89">
        <f>W54+W56+W48+W46+W44+W58</f>
        <v>1729.9859999999999</v>
      </c>
    </row>
    <row r="44" spans="1:23" ht="25.5">
      <c r="A44" s="37" t="s">
        <v>293</v>
      </c>
      <c r="B44" s="76" t="s">
        <v>62</v>
      </c>
      <c r="C44" s="76" t="s">
        <v>91</v>
      </c>
      <c r="D44" s="76" t="s">
        <v>294</v>
      </c>
      <c r="E44" s="76" t="s">
        <v>295</v>
      </c>
      <c r="F44" s="74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90">
        <f>T45</f>
        <v>120.386</v>
      </c>
      <c r="U44" s="90"/>
      <c r="V44" s="90"/>
      <c r="W44" s="89">
        <f>W45</f>
        <v>120.386</v>
      </c>
    </row>
    <row r="45" spans="1:23" ht="25.5">
      <c r="A45" s="75" t="s">
        <v>266</v>
      </c>
      <c r="B45" s="76" t="s">
        <v>62</v>
      </c>
      <c r="C45" s="76" t="s">
        <v>91</v>
      </c>
      <c r="D45" s="76" t="s">
        <v>294</v>
      </c>
      <c r="E45" s="76" t="s">
        <v>295</v>
      </c>
      <c r="F45" s="76" t="s">
        <v>273</v>
      </c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90">
        <v>120.386</v>
      </c>
      <c r="U45" s="90"/>
      <c r="V45" s="90"/>
      <c r="W45" s="89">
        <f>T45</f>
        <v>120.386</v>
      </c>
    </row>
    <row r="46" spans="1:23" ht="38.25">
      <c r="A46" s="91" t="s">
        <v>272</v>
      </c>
      <c r="B46" s="76" t="s">
        <v>62</v>
      </c>
      <c r="C46" s="76" t="s">
        <v>91</v>
      </c>
      <c r="D46" s="76" t="s">
        <v>294</v>
      </c>
      <c r="E46" s="76" t="s">
        <v>271</v>
      </c>
      <c r="F46" s="76"/>
      <c r="G46" s="90"/>
      <c r="H46" s="77"/>
      <c r="I46" s="77"/>
      <c r="J46" s="77"/>
      <c r="K46" s="77"/>
      <c r="L46" s="77"/>
      <c r="M46" s="77"/>
      <c r="N46" s="77"/>
      <c r="O46" s="77"/>
      <c r="P46" s="77">
        <f>P47</f>
        <v>162.6</v>
      </c>
      <c r="Q46" s="77"/>
      <c r="R46" s="77"/>
      <c r="S46" s="77"/>
      <c r="T46" s="77"/>
      <c r="U46" s="77"/>
      <c r="V46" s="77"/>
      <c r="W46" s="78">
        <f>W47</f>
        <v>162.6</v>
      </c>
    </row>
    <row r="47" spans="1:23" ht="25.5">
      <c r="A47" s="75" t="s">
        <v>266</v>
      </c>
      <c r="B47" s="76" t="s">
        <v>62</v>
      </c>
      <c r="C47" s="76" t="s">
        <v>91</v>
      </c>
      <c r="D47" s="76" t="s">
        <v>294</v>
      </c>
      <c r="E47" s="76" t="s">
        <v>271</v>
      </c>
      <c r="F47" s="76" t="s">
        <v>273</v>
      </c>
      <c r="G47" s="90"/>
      <c r="H47" s="77"/>
      <c r="I47" s="77"/>
      <c r="J47" s="77"/>
      <c r="K47" s="77"/>
      <c r="L47" s="77"/>
      <c r="M47" s="77"/>
      <c r="N47" s="77"/>
      <c r="O47" s="77"/>
      <c r="P47" s="77">
        <v>162.6</v>
      </c>
      <c r="Q47" s="77"/>
      <c r="R47" s="77"/>
      <c r="S47" s="77"/>
      <c r="T47" s="77"/>
      <c r="U47" s="77"/>
      <c r="V47" s="77"/>
      <c r="W47" s="78">
        <f>P47</f>
        <v>162.6</v>
      </c>
    </row>
    <row r="48" spans="1:23" ht="25.5">
      <c r="A48" s="91" t="s">
        <v>296</v>
      </c>
      <c r="B48" s="76" t="s">
        <v>62</v>
      </c>
      <c r="C48" s="76" t="s">
        <v>91</v>
      </c>
      <c r="D48" s="76" t="s">
        <v>294</v>
      </c>
      <c r="E48" s="76" t="s">
        <v>297</v>
      </c>
      <c r="F48" s="76"/>
      <c r="G48" s="90"/>
      <c r="H48" s="77"/>
      <c r="I48" s="77"/>
      <c r="J48" s="77">
        <f>J49</f>
        <v>0.8</v>
      </c>
      <c r="K48" s="77"/>
      <c r="L48" s="77"/>
      <c r="M48" s="77"/>
      <c r="N48" s="77"/>
      <c r="O48" s="77"/>
      <c r="P48" s="77">
        <f>P49</f>
        <v>1417</v>
      </c>
      <c r="Q48" s="77">
        <f>Q49</f>
        <v>0</v>
      </c>
      <c r="R48" s="77">
        <f>R49</f>
        <v>-1417</v>
      </c>
      <c r="S48" s="77"/>
      <c r="T48" s="77"/>
      <c r="U48" s="77"/>
      <c r="V48" s="77"/>
      <c r="W48" s="78">
        <f>W49</f>
        <v>0.7999999999999545</v>
      </c>
    </row>
    <row r="49" spans="1:23" ht="25.5">
      <c r="A49" s="75" t="s">
        <v>298</v>
      </c>
      <c r="B49" s="76" t="s">
        <v>62</v>
      </c>
      <c r="C49" s="76" t="s">
        <v>91</v>
      </c>
      <c r="D49" s="76" t="s">
        <v>294</v>
      </c>
      <c r="E49" s="76" t="s">
        <v>297</v>
      </c>
      <c r="F49" s="76" t="s">
        <v>299</v>
      </c>
      <c r="G49" s="90"/>
      <c r="H49" s="77"/>
      <c r="I49" s="77"/>
      <c r="J49" s="77">
        <v>0.8</v>
      </c>
      <c r="K49" s="77"/>
      <c r="L49" s="77"/>
      <c r="M49" s="77"/>
      <c r="N49" s="77"/>
      <c r="O49" s="77"/>
      <c r="P49" s="77">
        <v>1417</v>
      </c>
      <c r="Q49" s="77"/>
      <c r="R49" s="77">
        <v>-1417</v>
      </c>
      <c r="S49" s="77"/>
      <c r="T49" s="77"/>
      <c r="U49" s="77"/>
      <c r="V49" s="77"/>
      <c r="W49" s="78">
        <f>P49+J49+R49</f>
        <v>0.7999999999999545</v>
      </c>
    </row>
    <row r="50" spans="1:23" ht="51" hidden="1">
      <c r="A50" s="92" t="s">
        <v>220</v>
      </c>
      <c r="B50" s="76" t="s">
        <v>62</v>
      </c>
      <c r="C50" s="76" t="s">
        <v>91</v>
      </c>
      <c r="D50" s="76" t="s">
        <v>294</v>
      </c>
      <c r="E50" s="76" t="s">
        <v>300</v>
      </c>
      <c r="F50" s="76"/>
      <c r="G50" s="90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8"/>
    </row>
    <row r="51" spans="1:23" ht="25.5" hidden="1">
      <c r="A51" s="75" t="s">
        <v>266</v>
      </c>
      <c r="B51" s="76" t="s">
        <v>62</v>
      </c>
      <c r="C51" s="76" t="s">
        <v>91</v>
      </c>
      <c r="D51" s="76" t="s">
        <v>294</v>
      </c>
      <c r="E51" s="76" t="s">
        <v>300</v>
      </c>
      <c r="F51" s="76" t="s">
        <v>273</v>
      </c>
      <c r="G51" s="90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8"/>
    </row>
    <row r="52" spans="1:23" ht="12.75" hidden="1">
      <c r="A52" s="75" t="s">
        <v>301</v>
      </c>
      <c r="B52" s="76" t="s">
        <v>62</v>
      </c>
      <c r="C52" s="76" t="s">
        <v>91</v>
      </c>
      <c r="D52" s="76" t="s">
        <v>294</v>
      </c>
      <c r="E52" s="76" t="s">
        <v>302</v>
      </c>
      <c r="F52" s="76"/>
      <c r="G52" s="90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8"/>
    </row>
    <row r="53" spans="1:23" ht="25.5" hidden="1">
      <c r="A53" s="75" t="s">
        <v>266</v>
      </c>
      <c r="B53" s="76" t="s">
        <v>62</v>
      </c>
      <c r="C53" s="76" t="s">
        <v>91</v>
      </c>
      <c r="D53" s="76">
        <v>14</v>
      </c>
      <c r="E53" s="76" t="s">
        <v>302</v>
      </c>
      <c r="F53" s="76">
        <v>500</v>
      </c>
      <c r="G53" s="90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8"/>
    </row>
    <row r="54" spans="1:23" ht="63.75">
      <c r="A54" s="75" t="s">
        <v>303</v>
      </c>
      <c r="B54" s="76" t="s">
        <v>62</v>
      </c>
      <c r="C54" s="76" t="s">
        <v>91</v>
      </c>
      <c r="D54" s="76">
        <v>14</v>
      </c>
      <c r="E54" s="76" t="s">
        <v>304</v>
      </c>
      <c r="F54" s="76"/>
      <c r="G54" s="23">
        <f>G55</f>
        <v>456</v>
      </c>
      <c r="H54" s="23">
        <f>H55</f>
        <v>0</v>
      </c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80">
        <f>W55</f>
        <v>456</v>
      </c>
    </row>
    <row r="55" spans="1:23" ht="25.5">
      <c r="A55" s="75" t="s">
        <v>298</v>
      </c>
      <c r="B55" s="76" t="s">
        <v>62</v>
      </c>
      <c r="C55" s="76" t="s">
        <v>91</v>
      </c>
      <c r="D55" s="76">
        <v>14</v>
      </c>
      <c r="E55" s="76" t="s">
        <v>304</v>
      </c>
      <c r="F55" s="76" t="s">
        <v>299</v>
      </c>
      <c r="G55" s="23">
        <f>456000/1000</f>
        <v>456</v>
      </c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8">
        <f>G55+H55</f>
        <v>456</v>
      </c>
    </row>
    <row r="56" spans="1:23" ht="76.5">
      <c r="A56" s="75" t="s">
        <v>305</v>
      </c>
      <c r="B56" s="76" t="s">
        <v>62</v>
      </c>
      <c r="C56" s="76" t="s">
        <v>91</v>
      </c>
      <c r="D56" s="76">
        <v>14</v>
      </c>
      <c r="E56" s="76" t="s">
        <v>306</v>
      </c>
      <c r="F56" s="76"/>
      <c r="G56" s="23">
        <f>G57</f>
        <v>20.2</v>
      </c>
      <c r="H56" s="23">
        <f>H57</f>
        <v>0</v>
      </c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80">
        <f>W57</f>
        <v>20.2</v>
      </c>
    </row>
    <row r="57" spans="1:23" ht="25.5">
      <c r="A57" s="75" t="s">
        <v>266</v>
      </c>
      <c r="B57" s="76" t="s">
        <v>62</v>
      </c>
      <c r="C57" s="76" t="s">
        <v>91</v>
      </c>
      <c r="D57" s="76">
        <v>14</v>
      </c>
      <c r="E57" s="76" t="s">
        <v>306</v>
      </c>
      <c r="F57" s="76" t="s">
        <v>273</v>
      </c>
      <c r="G57" s="23">
        <f>20200/1000</f>
        <v>20.2</v>
      </c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8">
        <f>G57+H57</f>
        <v>20.2</v>
      </c>
    </row>
    <row r="58" spans="1:23" ht="25.5">
      <c r="A58" s="75" t="s">
        <v>307</v>
      </c>
      <c r="B58" s="76" t="s">
        <v>62</v>
      </c>
      <c r="C58" s="76" t="s">
        <v>91</v>
      </c>
      <c r="D58" s="76" t="s">
        <v>294</v>
      </c>
      <c r="E58" s="76" t="s">
        <v>308</v>
      </c>
      <c r="F58" s="76"/>
      <c r="G58" s="23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>
        <f>T59</f>
        <v>970</v>
      </c>
      <c r="U58" s="77"/>
      <c r="V58" s="77"/>
      <c r="W58" s="78">
        <f>W59</f>
        <v>970</v>
      </c>
    </row>
    <row r="59" spans="1:23" ht="25.5">
      <c r="A59" s="75" t="s">
        <v>266</v>
      </c>
      <c r="B59" s="76" t="s">
        <v>62</v>
      </c>
      <c r="C59" s="76" t="s">
        <v>91</v>
      </c>
      <c r="D59" s="76" t="s">
        <v>294</v>
      </c>
      <c r="E59" s="76" t="s">
        <v>308</v>
      </c>
      <c r="F59" s="76" t="s">
        <v>273</v>
      </c>
      <c r="G59" s="23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>
        <v>970</v>
      </c>
      <c r="U59" s="77"/>
      <c r="V59" s="77"/>
      <c r="W59" s="78">
        <f>T59</f>
        <v>970</v>
      </c>
    </row>
    <row r="60" spans="1:24" ht="38.25">
      <c r="A60" s="73" t="s">
        <v>309</v>
      </c>
      <c r="B60" s="74"/>
      <c r="C60" s="74" t="s">
        <v>269</v>
      </c>
      <c r="D60" s="74"/>
      <c r="E60" s="74"/>
      <c r="F60" s="74"/>
      <c r="G60" s="20">
        <f aca="true" t="shared" si="7" ref="G60:S60">G61+G64</f>
        <v>1300</v>
      </c>
      <c r="H60" s="20">
        <f t="shared" si="7"/>
        <v>0</v>
      </c>
      <c r="I60" s="20">
        <f t="shared" si="7"/>
        <v>0</v>
      </c>
      <c r="J60" s="20">
        <f t="shared" si="7"/>
        <v>0</v>
      </c>
      <c r="K60" s="20">
        <f t="shared" si="7"/>
        <v>0</v>
      </c>
      <c r="L60" s="20">
        <f t="shared" si="7"/>
        <v>0</v>
      </c>
      <c r="M60" s="20">
        <f t="shared" si="7"/>
        <v>0</v>
      </c>
      <c r="N60" s="20">
        <f t="shared" si="7"/>
        <v>0</v>
      </c>
      <c r="O60" s="20">
        <f t="shared" si="7"/>
        <v>0</v>
      </c>
      <c r="P60" s="20">
        <f t="shared" si="7"/>
        <v>419</v>
      </c>
      <c r="Q60" s="20">
        <f t="shared" si="7"/>
        <v>0</v>
      </c>
      <c r="R60" s="20">
        <f t="shared" si="7"/>
        <v>0</v>
      </c>
      <c r="S60" s="20">
        <f t="shared" si="7"/>
        <v>64</v>
      </c>
      <c r="T60" s="20"/>
      <c r="U60" s="20"/>
      <c r="V60" s="20"/>
      <c r="W60" s="46">
        <f>W61+W64</f>
        <v>1783</v>
      </c>
      <c r="X60" s="93"/>
    </row>
    <row r="61" spans="1:24" ht="12.75">
      <c r="A61" s="94" t="s">
        <v>310</v>
      </c>
      <c r="B61" s="74"/>
      <c r="C61" s="74" t="s">
        <v>269</v>
      </c>
      <c r="D61" s="74" t="s">
        <v>102</v>
      </c>
      <c r="E61" s="74"/>
      <c r="F61" s="74"/>
      <c r="G61" s="20">
        <f aca="true" t="shared" si="8" ref="G61:S61">G62</f>
        <v>800</v>
      </c>
      <c r="H61" s="20">
        <f t="shared" si="8"/>
        <v>0</v>
      </c>
      <c r="I61" s="20">
        <f t="shared" si="8"/>
        <v>0</v>
      </c>
      <c r="J61" s="20">
        <f t="shared" si="8"/>
        <v>0</v>
      </c>
      <c r="K61" s="20">
        <f t="shared" si="8"/>
        <v>0</v>
      </c>
      <c r="L61" s="20">
        <f t="shared" si="8"/>
        <v>0</v>
      </c>
      <c r="M61" s="20">
        <f t="shared" si="8"/>
        <v>0</v>
      </c>
      <c r="N61" s="20">
        <f t="shared" si="8"/>
        <v>0</v>
      </c>
      <c r="O61" s="20">
        <f t="shared" si="8"/>
        <v>0</v>
      </c>
      <c r="P61" s="20">
        <f t="shared" si="8"/>
        <v>-206</v>
      </c>
      <c r="Q61" s="20">
        <f t="shared" si="8"/>
        <v>0</v>
      </c>
      <c r="R61" s="20">
        <f t="shared" si="8"/>
        <v>0</v>
      </c>
      <c r="S61" s="20">
        <f t="shared" si="8"/>
        <v>64</v>
      </c>
      <c r="T61" s="20"/>
      <c r="U61" s="20"/>
      <c r="V61" s="20"/>
      <c r="W61" s="46">
        <f>W62</f>
        <v>658</v>
      </c>
      <c r="X61" s="95"/>
    </row>
    <row r="62" spans="1:24" ht="25.5">
      <c r="A62" s="91" t="s">
        <v>311</v>
      </c>
      <c r="B62" s="76" t="s">
        <v>62</v>
      </c>
      <c r="C62" s="76" t="s">
        <v>269</v>
      </c>
      <c r="D62" s="76" t="s">
        <v>102</v>
      </c>
      <c r="E62" s="76" t="s">
        <v>312</v>
      </c>
      <c r="F62" s="76"/>
      <c r="G62" s="23">
        <f>G63</f>
        <v>800</v>
      </c>
      <c r="H62" s="23">
        <f>H63</f>
        <v>0</v>
      </c>
      <c r="I62" s="23"/>
      <c r="J62" s="23"/>
      <c r="K62" s="23"/>
      <c r="L62" s="23"/>
      <c r="M62" s="23"/>
      <c r="N62" s="23"/>
      <c r="O62" s="23"/>
      <c r="P62" s="23">
        <f>P63</f>
        <v>-206</v>
      </c>
      <c r="Q62" s="23"/>
      <c r="R62" s="23"/>
      <c r="S62" s="23">
        <f>S63</f>
        <v>64</v>
      </c>
      <c r="T62" s="23"/>
      <c r="U62" s="23"/>
      <c r="V62" s="23"/>
      <c r="W62" s="80">
        <f>W63</f>
        <v>658</v>
      </c>
      <c r="X62" s="93"/>
    </row>
    <row r="63" spans="1:23" ht="25.5">
      <c r="A63" s="75" t="s">
        <v>266</v>
      </c>
      <c r="B63" s="76" t="s">
        <v>62</v>
      </c>
      <c r="C63" s="76" t="s">
        <v>269</v>
      </c>
      <c r="D63" s="76" t="s">
        <v>102</v>
      </c>
      <c r="E63" s="76" t="s">
        <v>312</v>
      </c>
      <c r="F63" s="76" t="s">
        <v>273</v>
      </c>
      <c r="G63" s="23">
        <f>800000/1000</f>
        <v>800</v>
      </c>
      <c r="H63" s="77"/>
      <c r="I63" s="77"/>
      <c r="J63" s="77"/>
      <c r="K63" s="77"/>
      <c r="L63" s="77"/>
      <c r="M63" s="77"/>
      <c r="N63" s="77"/>
      <c r="O63" s="77"/>
      <c r="P63" s="77">
        <v>-206</v>
      </c>
      <c r="Q63" s="77"/>
      <c r="R63" s="77"/>
      <c r="S63" s="77">
        <v>64</v>
      </c>
      <c r="T63" s="77"/>
      <c r="U63" s="77"/>
      <c r="V63" s="77"/>
      <c r="W63" s="78">
        <f>G63+H63+P63+S63</f>
        <v>658</v>
      </c>
    </row>
    <row r="64" spans="1:23" ht="38.25">
      <c r="A64" s="94" t="s">
        <v>309</v>
      </c>
      <c r="B64" s="76"/>
      <c r="C64" s="74" t="s">
        <v>269</v>
      </c>
      <c r="D64" s="74" t="s">
        <v>50</v>
      </c>
      <c r="E64" s="76"/>
      <c r="F64" s="76"/>
      <c r="G64" s="20">
        <f>G65</f>
        <v>500</v>
      </c>
      <c r="H64" s="20">
        <f>H65</f>
        <v>0</v>
      </c>
      <c r="I64" s="20">
        <f>I65</f>
        <v>0</v>
      </c>
      <c r="J64" s="20">
        <f>J65</f>
        <v>0</v>
      </c>
      <c r="K64" s="20"/>
      <c r="L64" s="20"/>
      <c r="M64" s="20"/>
      <c r="N64" s="20"/>
      <c r="O64" s="20"/>
      <c r="P64" s="20">
        <f>P65</f>
        <v>625</v>
      </c>
      <c r="Q64" s="20"/>
      <c r="R64" s="20"/>
      <c r="S64" s="20"/>
      <c r="T64" s="20"/>
      <c r="U64" s="20"/>
      <c r="V64" s="20"/>
      <c r="W64" s="46">
        <f>W65</f>
        <v>1125</v>
      </c>
    </row>
    <row r="65" spans="1:23" ht="38.25">
      <c r="A65" s="75" t="s">
        <v>313</v>
      </c>
      <c r="B65" s="76" t="s">
        <v>62</v>
      </c>
      <c r="C65" s="76" t="s">
        <v>269</v>
      </c>
      <c r="D65" s="76" t="s">
        <v>50</v>
      </c>
      <c r="E65" s="76" t="s">
        <v>314</v>
      </c>
      <c r="F65" s="76"/>
      <c r="G65" s="23">
        <f>G66</f>
        <v>500</v>
      </c>
      <c r="H65" s="23">
        <f>H66</f>
        <v>0</v>
      </c>
      <c r="I65" s="23"/>
      <c r="J65" s="23"/>
      <c r="K65" s="23"/>
      <c r="L65" s="23"/>
      <c r="M65" s="23"/>
      <c r="N65" s="23"/>
      <c r="O65" s="23"/>
      <c r="P65" s="23">
        <f>P66</f>
        <v>625</v>
      </c>
      <c r="Q65" s="23"/>
      <c r="R65" s="23"/>
      <c r="S65" s="23"/>
      <c r="T65" s="23"/>
      <c r="U65" s="23"/>
      <c r="V65" s="23"/>
      <c r="W65" s="80">
        <f>W66</f>
        <v>1125</v>
      </c>
    </row>
    <row r="66" spans="1:23" ht="25.5">
      <c r="A66" s="75" t="s">
        <v>266</v>
      </c>
      <c r="B66" s="76" t="s">
        <v>62</v>
      </c>
      <c r="C66" s="76" t="s">
        <v>269</v>
      </c>
      <c r="D66" s="76" t="s">
        <v>50</v>
      </c>
      <c r="E66" s="76" t="s">
        <v>314</v>
      </c>
      <c r="F66" s="76" t="s">
        <v>273</v>
      </c>
      <c r="G66" s="23">
        <f>500000/1000</f>
        <v>500</v>
      </c>
      <c r="H66" s="77"/>
      <c r="I66" s="77"/>
      <c r="J66" s="77"/>
      <c r="K66" s="77"/>
      <c r="L66" s="77"/>
      <c r="M66" s="77"/>
      <c r="N66" s="77"/>
      <c r="O66" s="77"/>
      <c r="P66" s="77">
        <f>200+275+150</f>
        <v>625</v>
      </c>
      <c r="Q66" s="77"/>
      <c r="R66" s="77"/>
      <c r="S66" s="77"/>
      <c r="T66" s="77"/>
      <c r="U66" s="77"/>
      <c r="V66" s="77"/>
      <c r="W66" s="78">
        <f>G66+H66+P66</f>
        <v>1125</v>
      </c>
    </row>
    <row r="67" spans="1:23" ht="12.75">
      <c r="A67" s="73" t="s">
        <v>315</v>
      </c>
      <c r="B67" s="74"/>
      <c r="C67" s="74" t="s">
        <v>275</v>
      </c>
      <c r="D67" s="74"/>
      <c r="E67" s="74"/>
      <c r="F67" s="74"/>
      <c r="G67" s="20">
        <f>G68+G75+G78+G81+G88+G91</f>
        <v>21928.27</v>
      </c>
      <c r="H67" s="20">
        <f>H68+H75+H78+H81+H88+H91</f>
        <v>8866.1</v>
      </c>
      <c r="I67" s="20">
        <f>I68+I75+I78+I81+I88+I91</f>
        <v>1808</v>
      </c>
      <c r="J67" s="20">
        <f>J68+J75+J78+J81+J88+J91</f>
        <v>0</v>
      </c>
      <c r="K67" s="20">
        <f>K68+K75+K78+K81+K88+K91</f>
        <v>780.73</v>
      </c>
      <c r="L67" s="20">
        <f>L68+L75+L78+L81+L88</f>
        <v>0</v>
      </c>
      <c r="M67" s="20">
        <f aca="true" t="shared" si="9" ref="M67:W67">M68+M75+M78+M81+M88+M91</f>
        <v>162.6</v>
      </c>
      <c r="N67" s="20">
        <f t="shared" si="9"/>
        <v>153</v>
      </c>
      <c r="O67" s="20">
        <f t="shared" si="9"/>
        <v>0</v>
      </c>
      <c r="P67" s="20">
        <f t="shared" si="9"/>
        <v>662.4</v>
      </c>
      <c r="Q67" s="20">
        <f t="shared" si="9"/>
        <v>500</v>
      </c>
      <c r="R67" s="20">
        <f t="shared" si="9"/>
        <v>1417</v>
      </c>
      <c r="S67" s="20">
        <f t="shared" si="9"/>
        <v>1000</v>
      </c>
      <c r="T67" s="20">
        <f t="shared" si="9"/>
        <v>355</v>
      </c>
      <c r="U67" s="20">
        <f t="shared" si="9"/>
        <v>41.9</v>
      </c>
      <c r="V67" s="20">
        <f t="shared" si="9"/>
        <v>508</v>
      </c>
      <c r="W67" s="46">
        <f t="shared" si="9"/>
        <v>38183</v>
      </c>
    </row>
    <row r="68" spans="1:23" ht="12.75">
      <c r="A68" s="73" t="s">
        <v>316</v>
      </c>
      <c r="B68" s="74"/>
      <c r="C68" s="74" t="s">
        <v>275</v>
      </c>
      <c r="D68" s="74" t="s">
        <v>91</v>
      </c>
      <c r="E68" s="74"/>
      <c r="F68" s="74"/>
      <c r="G68" s="20">
        <f aca="true" t="shared" si="10" ref="G68:T68">G71+G73</f>
        <v>779.4</v>
      </c>
      <c r="H68" s="20">
        <f t="shared" si="10"/>
        <v>0</v>
      </c>
      <c r="I68" s="20">
        <f t="shared" si="10"/>
        <v>0</v>
      </c>
      <c r="J68" s="20">
        <f t="shared" si="10"/>
        <v>0</v>
      </c>
      <c r="K68" s="20">
        <f t="shared" si="10"/>
        <v>30.73</v>
      </c>
      <c r="L68" s="20">
        <f t="shared" si="10"/>
        <v>0</v>
      </c>
      <c r="M68" s="20">
        <f t="shared" si="10"/>
        <v>0</v>
      </c>
      <c r="N68" s="20">
        <f t="shared" si="10"/>
        <v>0</v>
      </c>
      <c r="O68" s="20">
        <f t="shared" si="10"/>
        <v>0</v>
      </c>
      <c r="P68" s="20">
        <f t="shared" si="10"/>
        <v>0</v>
      </c>
      <c r="Q68" s="20">
        <f t="shared" si="10"/>
        <v>0</v>
      </c>
      <c r="R68" s="20">
        <f t="shared" si="10"/>
        <v>0</v>
      </c>
      <c r="S68" s="20">
        <f t="shared" si="10"/>
        <v>0</v>
      </c>
      <c r="T68" s="20">
        <f t="shared" si="10"/>
        <v>0</v>
      </c>
      <c r="U68" s="20">
        <f>U71+U73+U69</f>
        <v>30</v>
      </c>
      <c r="V68" s="20"/>
      <c r="W68" s="46">
        <f>W71+W73+W69</f>
        <v>840.1300000000001</v>
      </c>
    </row>
    <row r="69" spans="1:23" ht="51">
      <c r="A69" s="37" t="s">
        <v>359</v>
      </c>
      <c r="B69" s="76" t="s">
        <v>62</v>
      </c>
      <c r="C69" s="76" t="s">
        <v>275</v>
      </c>
      <c r="D69" s="76" t="s">
        <v>91</v>
      </c>
      <c r="E69" s="76" t="s">
        <v>360</v>
      </c>
      <c r="F69" s="76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3">
        <f>U70</f>
        <v>30</v>
      </c>
      <c r="V69" s="23"/>
      <c r="W69" s="80">
        <f>W70</f>
        <v>30</v>
      </c>
    </row>
    <row r="70" spans="1:23" ht="25.5">
      <c r="A70" s="75" t="s">
        <v>298</v>
      </c>
      <c r="B70" s="76" t="s">
        <v>62</v>
      </c>
      <c r="C70" s="76" t="s">
        <v>275</v>
      </c>
      <c r="D70" s="76" t="s">
        <v>91</v>
      </c>
      <c r="E70" s="76" t="s">
        <v>360</v>
      </c>
      <c r="F70" s="76" t="s">
        <v>299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3">
        <v>30</v>
      </c>
      <c r="V70" s="23"/>
      <c r="W70" s="80">
        <f>U70</f>
        <v>30</v>
      </c>
    </row>
    <row r="71" spans="1:23" ht="51">
      <c r="A71" s="75" t="s">
        <v>317</v>
      </c>
      <c r="B71" s="76" t="s">
        <v>62</v>
      </c>
      <c r="C71" s="76" t="s">
        <v>275</v>
      </c>
      <c r="D71" s="76" t="s">
        <v>91</v>
      </c>
      <c r="E71" s="76" t="s">
        <v>318</v>
      </c>
      <c r="F71" s="76"/>
      <c r="G71" s="23">
        <f aca="true" t="shared" si="11" ref="G71:L71">G72</f>
        <v>730.6</v>
      </c>
      <c r="H71" s="23">
        <f t="shared" si="11"/>
        <v>0</v>
      </c>
      <c r="I71" s="23">
        <f t="shared" si="11"/>
        <v>0</v>
      </c>
      <c r="J71" s="23">
        <f t="shared" si="11"/>
        <v>0</v>
      </c>
      <c r="K71" s="23">
        <f t="shared" si="11"/>
        <v>30.7</v>
      </c>
      <c r="L71" s="23">
        <f t="shared" si="11"/>
        <v>0</v>
      </c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80">
        <f>W72</f>
        <v>761.3000000000001</v>
      </c>
    </row>
    <row r="72" spans="1:23" ht="25.5">
      <c r="A72" s="75" t="s">
        <v>266</v>
      </c>
      <c r="B72" s="76" t="s">
        <v>62</v>
      </c>
      <c r="C72" s="76" t="s">
        <v>275</v>
      </c>
      <c r="D72" s="76" t="s">
        <v>91</v>
      </c>
      <c r="E72" s="76" t="s">
        <v>318</v>
      </c>
      <c r="F72" s="76">
        <v>500</v>
      </c>
      <c r="G72" s="23">
        <f>730600/1000</f>
        <v>730.6</v>
      </c>
      <c r="H72" s="77"/>
      <c r="I72" s="77"/>
      <c r="J72" s="77"/>
      <c r="K72" s="77">
        <v>30.7</v>
      </c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8">
        <f>G72+H72+K72</f>
        <v>761.3000000000001</v>
      </c>
    </row>
    <row r="73" spans="1:23" ht="51">
      <c r="A73" s="75" t="s">
        <v>319</v>
      </c>
      <c r="B73" s="76" t="s">
        <v>62</v>
      </c>
      <c r="C73" s="76" t="s">
        <v>275</v>
      </c>
      <c r="D73" s="76" t="s">
        <v>91</v>
      </c>
      <c r="E73" s="76" t="s">
        <v>320</v>
      </c>
      <c r="F73" s="76"/>
      <c r="G73" s="23">
        <f aca="true" t="shared" si="12" ref="G73:L73">G74</f>
        <v>48.8</v>
      </c>
      <c r="H73" s="23">
        <f t="shared" si="12"/>
        <v>0</v>
      </c>
      <c r="I73" s="23">
        <f t="shared" si="12"/>
        <v>0</v>
      </c>
      <c r="J73" s="23">
        <f t="shared" si="12"/>
        <v>0</v>
      </c>
      <c r="K73" s="23">
        <f t="shared" si="12"/>
        <v>0.03</v>
      </c>
      <c r="L73" s="23">
        <f t="shared" si="12"/>
        <v>0</v>
      </c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80">
        <f>W74</f>
        <v>48.83</v>
      </c>
    </row>
    <row r="74" spans="1:23" ht="25.5">
      <c r="A74" s="75" t="s">
        <v>266</v>
      </c>
      <c r="B74" s="76" t="s">
        <v>62</v>
      </c>
      <c r="C74" s="76" t="s">
        <v>275</v>
      </c>
      <c r="D74" s="76" t="s">
        <v>91</v>
      </c>
      <c r="E74" s="76" t="s">
        <v>320</v>
      </c>
      <c r="F74" s="76">
        <v>500</v>
      </c>
      <c r="G74" s="23">
        <f>48800/1000</f>
        <v>48.8</v>
      </c>
      <c r="H74" s="77"/>
      <c r="I74" s="77"/>
      <c r="J74" s="77"/>
      <c r="K74" s="77">
        <v>0.03</v>
      </c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8">
        <f>G74+H74+K74</f>
        <v>48.83</v>
      </c>
    </row>
    <row r="75" spans="1:23" ht="12.75">
      <c r="A75" s="94" t="s">
        <v>321</v>
      </c>
      <c r="B75" s="74"/>
      <c r="C75" s="74" t="s">
        <v>275</v>
      </c>
      <c r="D75" s="74" t="s">
        <v>102</v>
      </c>
      <c r="E75" s="74"/>
      <c r="F75" s="74"/>
      <c r="G75" s="20"/>
      <c r="H75" s="77"/>
      <c r="I75" s="77">
        <f>I76</f>
        <v>558</v>
      </c>
      <c r="J75" s="77">
        <f>J76</f>
        <v>0</v>
      </c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96">
        <f>W76</f>
        <v>558</v>
      </c>
    </row>
    <row r="76" spans="1:23" ht="25.5">
      <c r="A76" s="91" t="s">
        <v>322</v>
      </c>
      <c r="B76" s="76" t="s">
        <v>62</v>
      </c>
      <c r="C76" s="76" t="s">
        <v>275</v>
      </c>
      <c r="D76" s="76" t="s">
        <v>102</v>
      </c>
      <c r="E76" s="76" t="s">
        <v>323</v>
      </c>
      <c r="F76" s="76"/>
      <c r="G76" s="23"/>
      <c r="H76" s="77"/>
      <c r="I76" s="77">
        <f>I77</f>
        <v>558</v>
      </c>
      <c r="J76" s="77">
        <f>J77</f>
        <v>0</v>
      </c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8">
        <f>W77</f>
        <v>558</v>
      </c>
    </row>
    <row r="77" spans="1:23" ht="12.75">
      <c r="A77" s="75" t="s">
        <v>324</v>
      </c>
      <c r="B77" s="76" t="s">
        <v>62</v>
      </c>
      <c r="C77" s="76" t="s">
        <v>275</v>
      </c>
      <c r="D77" s="76" t="s">
        <v>102</v>
      </c>
      <c r="E77" s="76" t="s">
        <v>323</v>
      </c>
      <c r="F77" s="76" t="s">
        <v>325</v>
      </c>
      <c r="G77" s="23"/>
      <c r="H77" s="77"/>
      <c r="I77" s="77">
        <v>558</v>
      </c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8">
        <f>I77</f>
        <v>558</v>
      </c>
    </row>
    <row r="78" spans="1:23" ht="12.75">
      <c r="A78" s="94" t="s">
        <v>326</v>
      </c>
      <c r="B78" s="74"/>
      <c r="C78" s="74" t="s">
        <v>275</v>
      </c>
      <c r="D78" s="74" t="s">
        <v>66</v>
      </c>
      <c r="E78" s="74"/>
      <c r="F78" s="74"/>
      <c r="G78" s="20">
        <f>G79</f>
        <v>300</v>
      </c>
      <c r="H78" s="20">
        <f aca="true" t="shared" si="13" ref="H78:V78">H79</f>
        <v>0</v>
      </c>
      <c r="I78" s="20">
        <f t="shared" si="13"/>
        <v>0</v>
      </c>
      <c r="J78" s="20">
        <f t="shared" si="13"/>
        <v>0</v>
      </c>
      <c r="K78" s="20">
        <f t="shared" si="13"/>
        <v>0</v>
      </c>
      <c r="L78" s="20">
        <f t="shared" si="13"/>
        <v>0</v>
      </c>
      <c r="M78" s="20">
        <f t="shared" si="13"/>
        <v>0</v>
      </c>
      <c r="N78" s="20">
        <f t="shared" si="13"/>
        <v>0</v>
      </c>
      <c r="O78" s="20">
        <f t="shared" si="13"/>
        <v>0</v>
      </c>
      <c r="P78" s="20">
        <f t="shared" si="13"/>
        <v>0</v>
      </c>
      <c r="Q78" s="20">
        <f t="shared" si="13"/>
        <v>0</v>
      </c>
      <c r="R78" s="20">
        <f t="shared" si="13"/>
        <v>0</v>
      </c>
      <c r="S78" s="20">
        <f t="shared" si="13"/>
        <v>0</v>
      </c>
      <c r="T78" s="20">
        <f t="shared" si="13"/>
        <v>0</v>
      </c>
      <c r="U78" s="20">
        <f t="shared" si="13"/>
        <v>0</v>
      </c>
      <c r="V78" s="20">
        <f t="shared" si="13"/>
        <v>-300</v>
      </c>
      <c r="W78" s="46">
        <f>W79</f>
        <v>0</v>
      </c>
    </row>
    <row r="79" spans="1:23" ht="25.5">
      <c r="A79" s="91" t="s">
        <v>311</v>
      </c>
      <c r="B79" s="76" t="s">
        <v>62</v>
      </c>
      <c r="C79" s="76" t="s">
        <v>275</v>
      </c>
      <c r="D79" s="76" t="s">
        <v>66</v>
      </c>
      <c r="E79" s="76" t="s">
        <v>312</v>
      </c>
      <c r="F79" s="76"/>
      <c r="G79" s="23">
        <f>G80</f>
        <v>300</v>
      </c>
      <c r="H79" s="23">
        <f aca="true" t="shared" si="14" ref="H79:V79">H80</f>
        <v>0</v>
      </c>
      <c r="I79" s="23">
        <f t="shared" si="14"/>
        <v>0</v>
      </c>
      <c r="J79" s="23">
        <f t="shared" si="14"/>
        <v>0</v>
      </c>
      <c r="K79" s="23">
        <f t="shared" si="14"/>
        <v>0</v>
      </c>
      <c r="L79" s="23">
        <f t="shared" si="14"/>
        <v>0</v>
      </c>
      <c r="M79" s="23">
        <f t="shared" si="14"/>
        <v>0</v>
      </c>
      <c r="N79" s="23">
        <f t="shared" si="14"/>
        <v>0</v>
      </c>
      <c r="O79" s="23">
        <f t="shared" si="14"/>
        <v>0</v>
      </c>
      <c r="P79" s="23">
        <f t="shared" si="14"/>
        <v>0</v>
      </c>
      <c r="Q79" s="23">
        <f t="shared" si="14"/>
        <v>0</v>
      </c>
      <c r="R79" s="23">
        <f t="shared" si="14"/>
        <v>0</v>
      </c>
      <c r="S79" s="23">
        <f t="shared" si="14"/>
        <v>0</v>
      </c>
      <c r="T79" s="23">
        <f t="shared" si="14"/>
        <v>0</v>
      </c>
      <c r="U79" s="23">
        <f t="shared" si="14"/>
        <v>0</v>
      </c>
      <c r="V79" s="23">
        <f t="shared" si="14"/>
        <v>-300</v>
      </c>
      <c r="W79" s="80">
        <f>W80</f>
        <v>0</v>
      </c>
    </row>
    <row r="80" spans="1:23" ht="25.5">
      <c r="A80" s="91" t="s">
        <v>327</v>
      </c>
      <c r="B80" s="76" t="s">
        <v>62</v>
      </c>
      <c r="C80" s="76" t="s">
        <v>275</v>
      </c>
      <c r="D80" s="76" t="s">
        <v>66</v>
      </c>
      <c r="E80" s="76" t="s">
        <v>312</v>
      </c>
      <c r="F80" s="76" t="s">
        <v>328</v>
      </c>
      <c r="G80" s="23">
        <f>300000/1000</f>
        <v>300</v>
      </c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>
        <f>-94.5-205.5</f>
        <v>-300</v>
      </c>
      <c r="W80" s="78">
        <f>G80+H80+V80</f>
        <v>0</v>
      </c>
    </row>
    <row r="81" spans="1:23" ht="12.75">
      <c r="A81" s="73" t="s">
        <v>329</v>
      </c>
      <c r="B81" s="74"/>
      <c r="C81" s="74" t="s">
        <v>275</v>
      </c>
      <c r="D81" s="74" t="s">
        <v>330</v>
      </c>
      <c r="E81" s="74"/>
      <c r="F81" s="74"/>
      <c r="G81" s="20">
        <f>G82</f>
        <v>5000</v>
      </c>
      <c r="H81" s="20">
        <f>H82+H84</f>
        <v>3190</v>
      </c>
      <c r="I81" s="20">
        <f>I82+I84</f>
        <v>0</v>
      </c>
      <c r="J81" s="20">
        <f>J82+J84</f>
        <v>0</v>
      </c>
      <c r="K81" s="20"/>
      <c r="L81" s="20"/>
      <c r="M81" s="20"/>
      <c r="N81" s="20">
        <f>N84</f>
        <v>153</v>
      </c>
      <c r="O81" s="20"/>
      <c r="P81" s="20"/>
      <c r="Q81" s="20"/>
      <c r="R81" s="20"/>
      <c r="S81" s="20"/>
      <c r="T81" s="20"/>
      <c r="U81" s="20"/>
      <c r="V81" s="20"/>
      <c r="W81" s="46">
        <f>W82+W84</f>
        <v>8343</v>
      </c>
    </row>
    <row r="82" spans="1:23" ht="25.5">
      <c r="A82" s="75" t="s">
        <v>331</v>
      </c>
      <c r="B82" s="76" t="s">
        <v>62</v>
      </c>
      <c r="C82" s="76" t="s">
        <v>275</v>
      </c>
      <c r="D82" s="76" t="s">
        <v>330</v>
      </c>
      <c r="E82" s="76" t="s">
        <v>332</v>
      </c>
      <c r="F82" s="76"/>
      <c r="G82" s="23">
        <f>G83</f>
        <v>5000</v>
      </c>
      <c r="H82" s="23">
        <f>H83</f>
        <v>2000</v>
      </c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80">
        <f>W83</f>
        <v>7000</v>
      </c>
    </row>
    <row r="83" spans="1:23" ht="12.75">
      <c r="A83" s="75" t="s">
        <v>324</v>
      </c>
      <c r="B83" s="76" t="s">
        <v>62</v>
      </c>
      <c r="C83" s="76" t="s">
        <v>275</v>
      </c>
      <c r="D83" s="76" t="s">
        <v>330</v>
      </c>
      <c r="E83" s="76" t="s">
        <v>332</v>
      </c>
      <c r="F83" s="76" t="s">
        <v>325</v>
      </c>
      <c r="G83" s="23">
        <f>5000000/1000</f>
        <v>5000</v>
      </c>
      <c r="H83" s="77">
        <f>2000000/1000</f>
        <v>2000</v>
      </c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8">
        <f>G83+H83</f>
        <v>7000</v>
      </c>
    </row>
    <row r="84" spans="1:23" ht="25.5">
      <c r="A84" s="75" t="s">
        <v>331</v>
      </c>
      <c r="B84" s="76" t="s">
        <v>62</v>
      </c>
      <c r="C84" s="76" t="s">
        <v>275</v>
      </c>
      <c r="D84" s="76" t="s">
        <v>330</v>
      </c>
      <c r="E84" s="76" t="s">
        <v>332</v>
      </c>
      <c r="F84" s="76"/>
      <c r="G84" s="23"/>
      <c r="H84" s="77">
        <f>H85</f>
        <v>1190</v>
      </c>
      <c r="I84" s="77"/>
      <c r="J84" s="77"/>
      <c r="K84" s="77"/>
      <c r="L84" s="77"/>
      <c r="M84" s="77"/>
      <c r="N84" s="77">
        <f>N85</f>
        <v>153</v>
      </c>
      <c r="O84" s="77"/>
      <c r="P84" s="77"/>
      <c r="Q84" s="77"/>
      <c r="R84" s="77"/>
      <c r="S84" s="77"/>
      <c r="T84" s="77"/>
      <c r="U84" s="77"/>
      <c r="V84" s="77"/>
      <c r="W84" s="78">
        <f>W85</f>
        <v>1343</v>
      </c>
    </row>
    <row r="85" spans="1:23" ht="25.5">
      <c r="A85" s="97" t="s">
        <v>266</v>
      </c>
      <c r="B85" s="76" t="s">
        <v>62</v>
      </c>
      <c r="C85" s="76" t="s">
        <v>275</v>
      </c>
      <c r="D85" s="76" t="s">
        <v>330</v>
      </c>
      <c r="E85" s="76" t="s">
        <v>332</v>
      </c>
      <c r="F85" s="76" t="s">
        <v>273</v>
      </c>
      <c r="G85" s="23"/>
      <c r="H85" s="77">
        <f>1190000/1000</f>
        <v>1190</v>
      </c>
      <c r="I85" s="77"/>
      <c r="J85" s="77"/>
      <c r="K85" s="77"/>
      <c r="L85" s="77"/>
      <c r="M85" s="77"/>
      <c r="N85" s="77">
        <v>153</v>
      </c>
      <c r="O85" s="77"/>
      <c r="P85" s="77"/>
      <c r="Q85" s="77"/>
      <c r="R85" s="77"/>
      <c r="S85" s="77"/>
      <c r="T85" s="77"/>
      <c r="U85" s="77"/>
      <c r="V85" s="77"/>
      <c r="W85" s="78">
        <f>H85+N85</f>
        <v>1343</v>
      </c>
    </row>
    <row r="86" spans="1:23" ht="25.5" hidden="1">
      <c r="A86" s="98" t="s">
        <v>333</v>
      </c>
      <c r="B86" s="76" t="s">
        <v>62</v>
      </c>
      <c r="C86" s="76" t="s">
        <v>275</v>
      </c>
      <c r="D86" s="76" t="s">
        <v>330</v>
      </c>
      <c r="E86" s="76" t="s">
        <v>334</v>
      </c>
      <c r="F86" s="76"/>
      <c r="G86" s="23">
        <v>0</v>
      </c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8"/>
    </row>
    <row r="87" spans="1:23" ht="25.5" hidden="1">
      <c r="A87" s="97" t="s">
        <v>266</v>
      </c>
      <c r="B87" s="76" t="s">
        <v>62</v>
      </c>
      <c r="C87" s="76" t="s">
        <v>275</v>
      </c>
      <c r="D87" s="76" t="s">
        <v>330</v>
      </c>
      <c r="E87" s="76" t="s">
        <v>334</v>
      </c>
      <c r="F87" s="76" t="s">
        <v>273</v>
      </c>
      <c r="G87" s="23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8"/>
    </row>
    <row r="88" spans="1:23" ht="12.75">
      <c r="A88" s="73" t="s">
        <v>335</v>
      </c>
      <c r="B88" s="74"/>
      <c r="C88" s="74" t="s">
        <v>275</v>
      </c>
      <c r="D88" s="74" t="s">
        <v>50</v>
      </c>
      <c r="E88" s="74"/>
      <c r="F88" s="74"/>
      <c r="G88" s="20">
        <f>G89</f>
        <v>12598.87</v>
      </c>
      <c r="H88" s="20">
        <f>H89</f>
        <v>5001.1</v>
      </c>
      <c r="I88" s="20">
        <f>I89</f>
        <v>0</v>
      </c>
      <c r="J88" s="20">
        <f>J89</f>
        <v>0</v>
      </c>
      <c r="K88" s="20"/>
      <c r="L88" s="20"/>
      <c r="M88" s="20"/>
      <c r="N88" s="20"/>
      <c r="O88" s="20"/>
      <c r="P88" s="20">
        <f>P89</f>
        <v>825</v>
      </c>
      <c r="Q88" s="20"/>
      <c r="R88" s="20"/>
      <c r="S88" s="20"/>
      <c r="T88" s="20"/>
      <c r="U88" s="20"/>
      <c r="V88" s="20"/>
      <c r="W88" s="46">
        <f>W89</f>
        <v>18424.97</v>
      </c>
    </row>
    <row r="89" spans="1:23" ht="25.5">
      <c r="A89" s="75" t="s">
        <v>336</v>
      </c>
      <c r="B89" s="76" t="s">
        <v>62</v>
      </c>
      <c r="C89" s="76" t="s">
        <v>275</v>
      </c>
      <c r="D89" s="76" t="s">
        <v>50</v>
      </c>
      <c r="E89" s="76" t="s">
        <v>337</v>
      </c>
      <c r="F89" s="76"/>
      <c r="G89" s="23">
        <f>G90</f>
        <v>12598.87</v>
      </c>
      <c r="H89" s="23">
        <f>H90</f>
        <v>5001.1</v>
      </c>
      <c r="I89" s="23"/>
      <c r="J89" s="23"/>
      <c r="K89" s="23"/>
      <c r="L89" s="23"/>
      <c r="M89" s="23"/>
      <c r="N89" s="23"/>
      <c r="O89" s="23"/>
      <c r="P89" s="23">
        <f>P90</f>
        <v>825</v>
      </c>
      <c r="Q89" s="23"/>
      <c r="R89" s="23"/>
      <c r="S89" s="23"/>
      <c r="T89" s="23"/>
      <c r="U89" s="23"/>
      <c r="V89" s="23"/>
      <c r="W89" s="80">
        <f>W90</f>
        <v>18424.97</v>
      </c>
    </row>
    <row r="90" spans="1:23" ht="25.5">
      <c r="A90" s="75" t="s">
        <v>266</v>
      </c>
      <c r="B90" s="76" t="s">
        <v>62</v>
      </c>
      <c r="C90" s="76" t="s">
        <v>275</v>
      </c>
      <c r="D90" s="76" t="s">
        <v>50</v>
      </c>
      <c r="E90" s="76" t="s">
        <v>337</v>
      </c>
      <c r="F90" s="76" t="s">
        <v>273</v>
      </c>
      <c r="G90" s="23">
        <f>12598870/1000</f>
        <v>12598.87</v>
      </c>
      <c r="H90" s="77">
        <f>5600000/1000-598.9</f>
        <v>5001.1</v>
      </c>
      <c r="I90" s="77"/>
      <c r="J90" s="77"/>
      <c r="K90" s="77"/>
      <c r="L90" s="77"/>
      <c r="M90" s="77"/>
      <c r="N90" s="77"/>
      <c r="O90" s="77"/>
      <c r="P90" s="77">
        <v>825</v>
      </c>
      <c r="Q90" s="77"/>
      <c r="R90" s="77"/>
      <c r="S90" s="77"/>
      <c r="T90" s="77"/>
      <c r="U90" s="77"/>
      <c r="V90" s="77"/>
      <c r="W90" s="78">
        <f>G90+H90+P90</f>
        <v>18424.97</v>
      </c>
    </row>
    <row r="91" spans="1:23" ht="25.5">
      <c r="A91" s="94" t="s">
        <v>338</v>
      </c>
      <c r="B91" s="74"/>
      <c r="C91" s="74" t="s">
        <v>275</v>
      </c>
      <c r="D91" s="74" t="s">
        <v>339</v>
      </c>
      <c r="E91" s="74"/>
      <c r="F91" s="74"/>
      <c r="G91" s="20">
        <f>G92+G96+G102</f>
        <v>3250</v>
      </c>
      <c r="H91" s="20">
        <f>H92+H96+H102</f>
        <v>675</v>
      </c>
      <c r="I91" s="20">
        <f>+I100</f>
        <v>1250</v>
      </c>
      <c r="J91" s="20">
        <f aca="true" t="shared" si="15" ref="J91:P91">J92+J96+J102</f>
        <v>0</v>
      </c>
      <c r="K91" s="20">
        <f t="shared" si="15"/>
        <v>750</v>
      </c>
      <c r="L91" s="20">
        <f t="shared" si="15"/>
        <v>0</v>
      </c>
      <c r="M91" s="20">
        <f t="shared" si="15"/>
        <v>162.6</v>
      </c>
      <c r="N91" s="20">
        <f t="shared" si="15"/>
        <v>0</v>
      </c>
      <c r="O91" s="20">
        <f t="shared" si="15"/>
        <v>0</v>
      </c>
      <c r="P91" s="20">
        <f t="shared" si="15"/>
        <v>-162.6</v>
      </c>
      <c r="Q91" s="20">
        <f>Q92+Q96+Q102+Q94</f>
        <v>500</v>
      </c>
      <c r="R91" s="20">
        <f>R92+R96+R102+R94</f>
        <v>1417</v>
      </c>
      <c r="S91" s="20">
        <f>S92+S96+S102+S94</f>
        <v>1000</v>
      </c>
      <c r="T91" s="20">
        <f>T92+T96+T102+T94+T98</f>
        <v>355</v>
      </c>
      <c r="U91" s="20">
        <f>U92+U96+U102+U94+U98</f>
        <v>11.9</v>
      </c>
      <c r="V91" s="20">
        <f>V92+V96+V102+V94+V98</f>
        <v>808</v>
      </c>
      <c r="W91" s="46">
        <f>W92+W96+W102+W100+W94+W98</f>
        <v>10016.9</v>
      </c>
    </row>
    <row r="92" spans="1:23" ht="25.5">
      <c r="A92" s="86" t="s">
        <v>296</v>
      </c>
      <c r="B92" s="76" t="s">
        <v>62</v>
      </c>
      <c r="C92" s="76" t="s">
        <v>275</v>
      </c>
      <c r="D92" s="76" t="s">
        <v>339</v>
      </c>
      <c r="E92" s="76" t="s">
        <v>340</v>
      </c>
      <c r="F92" s="76"/>
      <c r="G92" s="23">
        <f>G93</f>
        <v>2900</v>
      </c>
      <c r="H92" s="23">
        <f aca="true" t="shared" si="16" ref="H92:U92">H93</f>
        <v>0</v>
      </c>
      <c r="I92" s="23">
        <f t="shared" si="16"/>
        <v>0</v>
      </c>
      <c r="J92" s="23">
        <f t="shared" si="16"/>
        <v>0</v>
      </c>
      <c r="K92" s="23">
        <f t="shared" si="16"/>
        <v>0</v>
      </c>
      <c r="L92" s="23">
        <f t="shared" si="16"/>
        <v>0</v>
      </c>
      <c r="M92" s="23">
        <f t="shared" si="16"/>
        <v>162.6</v>
      </c>
      <c r="N92" s="23">
        <f t="shared" si="16"/>
        <v>0</v>
      </c>
      <c r="O92" s="23">
        <f t="shared" si="16"/>
        <v>0</v>
      </c>
      <c r="P92" s="23">
        <f t="shared" si="16"/>
        <v>-162.6</v>
      </c>
      <c r="Q92" s="23">
        <f t="shared" si="16"/>
        <v>0</v>
      </c>
      <c r="R92" s="23">
        <f t="shared" si="16"/>
        <v>0</v>
      </c>
      <c r="S92" s="23">
        <f t="shared" si="16"/>
        <v>0</v>
      </c>
      <c r="T92" s="23">
        <f t="shared" si="16"/>
        <v>0</v>
      </c>
      <c r="U92" s="23">
        <f t="shared" si="16"/>
        <v>11.9</v>
      </c>
      <c r="V92" s="23"/>
      <c r="W92" s="80">
        <f>W93</f>
        <v>2911.9</v>
      </c>
    </row>
    <row r="93" spans="1:23" ht="25.5">
      <c r="A93" s="75" t="s">
        <v>298</v>
      </c>
      <c r="B93" s="76" t="s">
        <v>62</v>
      </c>
      <c r="C93" s="76" t="s">
        <v>275</v>
      </c>
      <c r="D93" s="76" t="s">
        <v>339</v>
      </c>
      <c r="E93" s="76" t="s">
        <v>340</v>
      </c>
      <c r="F93" s="76" t="s">
        <v>299</v>
      </c>
      <c r="G93" s="23">
        <f>2900000/1000</f>
        <v>2900</v>
      </c>
      <c r="H93" s="77"/>
      <c r="I93" s="77"/>
      <c r="J93" s="77"/>
      <c r="K93" s="77"/>
      <c r="L93" s="77"/>
      <c r="M93" s="77">
        <v>162.6</v>
      </c>
      <c r="N93" s="77"/>
      <c r="O93" s="77"/>
      <c r="P93" s="77">
        <v>-162.6</v>
      </c>
      <c r="Q93" s="77"/>
      <c r="R93" s="77"/>
      <c r="S93" s="77"/>
      <c r="T93" s="77"/>
      <c r="U93" s="77">
        <v>11.9</v>
      </c>
      <c r="V93" s="77"/>
      <c r="W93" s="78">
        <f>G93+H93+M93+P93+U93</f>
        <v>2911.9</v>
      </c>
    </row>
    <row r="94" spans="1:23" ht="25.5">
      <c r="A94" s="86" t="s">
        <v>296</v>
      </c>
      <c r="B94" s="76" t="s">
        <v>62</v>
      </c>
      <c r="C94" s="76" t="s">
        <v>275</v>
      </c>
      <c r="D94" s="76" t="s">
        <v>339</v>
      </c>
      <c r="E94" s="76" t="s">
        <v>341</v>
      </c>
      <c r="F94" s="76"/>
      <c r="G94" s="23"/>
      <c r="H94" s="77"/>
      <c r="I94" s="77"/>
      <c r="J94" s="77"/>
      <c r="K94" s="77"/>
      <c r="L94" s="77"/>
      <c r="M94" s="77"/>
      <c r="N94" s="77"/>
      <c r="O94" s="77"/>
      <c r="P94" s="77"/>
      <c r="Q94" s="23">
        <f aca="true" t="shared" si="17" ref="Q94:W94">Q95</f>
        <v>500</v>
      </c>
      <c r="R94" s="23">
        <f t="shared" si="17"/>
        <v>1417</v>
      </c>
      <c r="S94" s="23">
        <f t="shared" si="17"/>
        <v>1000</v>
      </c>
      <c r="T94" s="23">
        <f t="shared" si="17"/>
        <v>115</v>
      </c>
      <c r="U94" s="23">
        <f t="shared" si="17"/>
        <v>0</v>
      </c>
      <c r="V94" s="23">
        <f t="shared" si="17"/>
        <v>808</v>
      </c>
      <c r="W94" s="80">
        <f t="shared" si="17"/>
        <v>3840</v>
      </c>
    </row>
    <row r="95" spans="1:23" ht="25.5">
      <c r="A95" s="75" t="s">
        <v>298</v>
      </c>
      <c r="B95" s="76" t="s">
        <v>62</v>
      </c>
      <c r="C95" s="76" t="s">
        <v>275</v>
      </c>
      <c r="D95" s="76" t="s">
        <v>339</v>
      </c>
      <c r="E95" s="76" t="s">
        <v>341</v>
      </c>
      <c r="F95" s="76" t="s">
        <v>299</v>
      </c>
      <c r="G95" s="23"/>
      <c r="H95" s="77"/>
      <c r="I95" s="77"/>
      <c r="J95" s="77"/>
      <c r="K95" s="77"/>
      <c r="L95" s="77"/>
      <c r="M95" s="77"/>
      <c r="N95" s="77"/>
      <c r="O95" s="77"/>
      <c r="P95" s="77"/>
      <c r="Q95" s="77">
        <v>500</v>
      </c>
      <c r="R95" s="77">
        <v>1417</v>
      </c>
      <c r="S95" s="77">
        <v>1000</v>
      </c>
      <c r="T95" s="77">
        <v>115</v>
      </c>
      <c r="U95" s="77"/>
      <c r="V95" s="77">
        <v>808</v>
      </c>
      <c r="W95" s="78">
        <f>G95+H95+M95+P95+R95+Q95+T95+S95+V95</f>
        <v>3840</v>
      </c>
    </row>
    <row r="96" spans="1:23" ht="25.5">
      <c r="A96" s="75" t="s">
        <v>342</v>
      </c>
      <c r="B96" s="76" t="s">
        <v>62</v>
      </c>
      <c r="C96" s="76" t="s">
        <v>275</v>
      </c>
      <c r="D96" s="76">
        <v>12</v>
      </c>
      <c r="E96" s="76" t="s">
        <v>343</v>
      </c>
      <c r="F96" s="76"/>
      <c r="G96" s="23">
        <f>G97</f>
        <v>250</v>
      </c>
      <c r="H96" s="23">
        <f>H97</f>
        <v>675</v>
      </c>
      <c r="I96" s="23">
        <f>I97</f>
        <v>0</v>
      </c>
      <c r="J96" s="23">
        <f>J97</f>
        <v>0</v>
      </c>
      <c r="K96" s="23">
        <f>K97</f>
        <v>750</v>
      </c>
      <c r="L96" s="23"/>
      <c r="M96" s="23"/>
      <c r="N96" s="23"/>
      <c r="O96" s="23"/>
      <c r="P96" s="23"/>
      <c r="Q96" s="23"/>
      <c r="R96" s="23"/>
      <c r="S96" s="23"/>
      <c r="T96" s="23">
        <f>T97</f>
        <v>200</v>
      </c>
      <c r="U96" s="23"/>
      <c r="V96" s="23"/>
      <c r="W96" s="80">
        <f>W97</f>
        <v>1875</v>
      </c>
    </row>
    <row r="97" spans="1:23" ht="25.5">
      <c r="A97" s="75" t="s">
        <v>266</v>
      </c>
      <c r="B97" s="76" t="s">
        <v>62</v>
      </c>
      <c r="C97" s="76" t="s">
        <v>275</v>
      </c>
      <c r="D97" s="76">
        <v>12</v>
      </c>
      <c r="E97" s="76" t="s">
        <v>343</v>
      </c>
      <c r="F97" s="76">
        <v>500</v>
      </c>
      <c r="G97" s="23">
        <f>250000/1000</f>
        <v>250</v>
      </c>
      <c r="H97" s="77">
        <f>300000/1000+375</f>
        <v>675</v>
      </c>
      <c r="I97" s="77"/>
      <c r="J97" s="77"/>
      <c r="K97" s="77">
        <v>750</v>
      </c>
      <c r="L97" s="77"/>
      <c r="M97" s="77"/>
      <c r="N97" s="77"/>
      <c r="O97" s="77"/>
      <c r="P97" s="77"/>
      <c r="Q97" s="77"/>
      <c r="R97" s="77"/>
      <c r="S97" s="77"/>
      <c r="T97" s="77">
        <v>200</v>
      </c>
      <c r="U97" s="77"/>
      <c r="V97" s="77"/>
      <c r="W97" s="78">
        <f>G97+H97+K97+T97</f>
        <v>1875</v>
      </c>
    </row>
    <row r="98" spans="1:23" ht="38.25">
      <c r="A98" s="37" t="s">
        <v>123</v>
      </c>
      <c r="B98" s="76" t="s">
        <v>62</v>
      </c>
      <c r="C98" s="76" t="s">
        <v>275</v>
      </c>
      <c r="D98" s="76" t="s">
        <v>339</v>
      </c>
      <c r="E98" s="76" t="s">
        <v>344</v>
      </c>
      <c r="F98" s="76"/>
      <c r="G98" s="23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>
        <f>T99</f>
        <v>40</v>
      </c>
      <c r="U98" s="77"/>
      <c r="V98" s="77"/>
      <c r="W98" s="78">
        <f>W99</f>
        <v>40</v>
      </c>
    </row>
    <row r="99" spans="1:23" ht="12.75">
      <c r="A99" s="75" t="s">
        <v>324</v>
      </c>
      <c r="B99" s="76" t="s">
        <v>62</v>
      </c>
      <c r="C99" s="76" t="s">
        <v>275</v>
      </c>
      <c r="D99" s="76" t="s">
        <v>339</v>
      </c>
      <c r="E99" s="76" t="s">
        <v>344</v>
      </c>
      <c r="F99" s="76" t="s">
        <v>325</v>
      </c>
      <c r="G99" s="23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>
        <v>40</v>
      </c>
      <c r="U99" s="77"/>
      <c r="V99" s="77"/>
      <c r="W99" s="78">
        <f>T99</f>
        <v>40</v>
      </c>
    </row>
    <row r="100" spans="1:23" ht="25.5">
      <c r="A100" s="86" t="s">
        <v>345</v>
      </c>
      <c r="B100" s="76" t="s">
        <v>62</v>
      </c>
      <c r="C100" s="76" t="s">
        <v>275</v>
      </c>
      <c r="D100" s="76" t="s">
        <v>339</v>
      </c>
      <c r="E100" s="76" t="s">
        <v>346</v>
      </c>
      <c r="F100" s="76"/>
      <c r="G100" s="23"/>
      <c r="H100" s="77"/>
      <c r="I100" s="77">
        <f>I101</f>
        <v>1250</v>
      </c>
      <c r="J100" s="77">
        <f>J101</f>
        <v>0</v>
      </c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8">
        <f>W101</f>
        <v>1250</v>
      </c>
    </row>
    <row r="101" spans="1:23" ht="25.5">
      <c r="A101" s="75" t="s">
        <v>266</v>
      </c>
      <c r="B101" s="76" t="s">
        <v>62</v>
      </c>
      <c r="C101" s="76" t="s">
        <v>275</v>
      </c>
      <c r="D101" s="76" t="s">
        <v>339</v>
      </c>
      <c r="E101" s="76" t="s">
        <v>346</v>
      </c>
      <c r="F101" s="76" t="s">
        <v>273</v>
      </c>
      <c r="G101" s="23"/>
      <c r="H101" s="77"/>
      <c r="I101" s="77">
        <v>1250</v>
      </c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8">
        <f>I101</f>
        <v>1250</v>
      </c>
    </row>
    <row r="102" spans="1:23" ht="25.5">
      <c r="A102" s="91" t="s">
        <v>311</v>
      </c>
      <c r="B102" s="76" t="s">
        <v>62</v>
      </c>
      <c r="C102" s="76" t="s">
        <v>275</v>
      </c>
      <c r="D102" s="76" t="s">
        <v>339</v>
      </c>
      <c r="E102" s="76" t="s">
        <v>312</v>
      </c>
      <c r="F102" s="76"/>
      <c r="G102" s="23">
        <f>G103</f>
        <v>100</v>
      </c>
      <c r="H102" s="23">
        <f>H103</f>
        <v>0</v>
      </c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80">
        <f>W103</f>
        <v>100</v>
      </c>
    </row>
    <row r="103" spans="1:23" ht="25.5">
      <c r="A103" s="75" t="s">
        <v>266</v>
      </c>
      <c r="B103" s="76" t="s">
        <v>62</v>
      </c>
      <c r="C103" s="76" t="s">
        <v>275</v>
      </c>
      <c r="D103" s="76" t="s">
        <v>339</v>
      </c>
      <c r="E103" s="76" t="s">
        <v>312</v>
      </c>
      <c r="F103" s="76" t="s">
        <v>273</v>
      </c>
      <c r="G103" s="23">
        <f>100000/1000</f>
        <v>100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8">
        <f>G103+H103</f>
        <v>100</v>
      </c>
    </row>
    <row r="104" spans="1:23" ht="12.75">
      <c r="A104" s="79" t="s">
        <v>347</v>
      </c>
      <c r="B104" s="74"/>
      <c r="C104" s="74" t="s">
        <v>66</v>
      </c>
      <c r="D104" s="76"/>
      <c r="E104" s="76"/>
      <c r="F104" s="76"/>
      <c r="G104" s="20">
        <f aca="true" t="shared" si="18" ref="G104:J105">G105</f>
        <v>3900</v>
      </c>
      <c r="H104" s="20">
        <f t="shared" si="18"/>
        <v>0</v>
      </c>
      <c r="I104" s="20">
        <f t="shared" si="18"/>
        <v>0</v>
      </c>
      <c r="J104" s="20">
        <f t="shared" si="18"/>
        <v>0</v>
      </c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46">
        <f>W105</f>
        <v>3900</v>
      </c>
    </row>
    <row r="105" spans="1:23" ht="25.5">
      <c r="A105" s="79" t="s">
        <v>348</v>
      </c>
      <c r="B105" s="74"/>
      <c r="C105" s="74" t="s">
        <v>66</v>
      </c>
      <c r="D105" s="74" t="s">
        <v>66</v>
      </c>
      <c r="E105" s="74"/>
      <c r="F105" s="74"/>
      <c r="G105" s="20">
        <f t="shared" si="18"/>
        <v>3900</v>
      </c>
      <c r="H105" s="20">
        <f t="shared" si="18"/>
        <v>0</v>
      </c>
      <c r="I105" s="20">
        <f t="shared" si="18"/>
        <v>0</v>
      </c>
      <c r="J105" s="20">
        <f t="shared" si="18"/>
        <v>0</v>
      </c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46">
        <f>W106</f>
        <v>3900</v>
      </c>
    </row>
    <row r="106" spans="1:23" ht="25.5">
      <c r="A106" s="99" t="s">
        <v>296</v>
      </c>
      <c r="B106" s="76" t="s">
        <v>62</v>
      </c>
      <c r="C106" s="76" t="s">
        <v>66</v>
      </c>
      <c r="D106" s="76" t="s">
        <v>66</v>
      </c>
      <c r="E106" s="76" t="s">
        <v>349</v>
      </c>
      <c r="F106" s="76"/>
      <c r="G106" s="23">
        <f>G107</f>
        <v>3900</v>
      </c>
      <c r="H106" s="23">
        <f>H107</f>
        <v>0</v>
      </c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80">
        <f>W107</f>
        <v>3900</v>
      </c>
    </row>
    <row r="107" spans="1:23" ht="25.5">
      <c r="A107" s="75" t="s">
        <v>298</v>
      </c>
      <c r="B107" s="76" t="s">
        <v>62</v>
      </c>
      <c r="C107" s="76" t="s">
        <v>66</v>
      </c>
      <c r="D107" s="76" t="s">
        <v>66</v>
      </c>
      <c r="E107" s="76" t="s">
        <v>349</v>
      </c>
      <c r="F107" s="76" t="s">
        <v>299</v>
      </c>
      <c r="G107" s="23">
        <f>3900000/1000</f>
        <v>3900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8">
        <f>G107+H107</f>
        <v>3900</v>
      </c>
    </row>
    <row r="108" spans="1:23" ht="12.75">
      <c r="A108" s="94" t="s">
        <v>350</v>
      </c>
      <c r="B108" s="74"/>
      <c r="C108" s="74" t="s">
        <v>282</v>
      </c>
      <c r="D108" s="74"/>
      <c r="E108" s="74"/>
      <c r="F108" s="74"/>
      <c r="G108" s="20">
        <f aca="true" t="shared" si="19" ref="G108:J109">G109</f>
        <v>100</v>
      </c>
      <c r="H108" s="20">
        <f t="shared" si="19"/>
        <v>0</v>
      </c>
      <c r="I108" s="20">
        <f t="shared" si="19"/>
        <v>0</v>
      </c>
      <c r="J108" s="20">
        <f t="shared" si="19"/>
        <v>0</v>
      </c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46">
        <f>W109</f>
        <v>100</v>
      </c>
    </row>
    <row r="109" spans="1:23" ht="25.5">
      <c r="A109" s="94" t="s">
        <v>351</v>
      </c>
      <c r="B109" s="74"/>
      <c r="C109" s="74" t="s">
        <v>282</v>
      </c>
      <c r="D109" s="74" t="s">
        <v>66</v>
      </c>
      <c r="E109" s="74"/>
      <c r="F109" s="74"/>
      <c r="G109" s="20">
        <f t="shared" si="19"/>
        <v>100</v>
      </c>
      <c r="H109" s="20">
        <f t="shared" si="19"/>
        <v>0</v>
      </c>
      <c r="I109" s="20">
        <f t="shared" si="19"/>
        <v>0</v>
      </c>
      <c r="J109" s="20">
        <f t="shared" si="19"/>
        <v>0</v>
      </c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46">
        <f>W110</f>
        <v>100</v>
      </c>
    </row>
    <row r="110" spans="1:23" ht="25.5">
      <c r="A110" s="91" t="s">
        <v>311</v>
      </c>
      <c r="B110" s="76" t="s">
        <v>62</v>
      </c>
      <c r="C110" s="76" t="s">
        <v>282</v>
      </c>
      <c r="D110" s="76" t="s">
        <v>66</v>
      </c>
      <c r="E110" s="76" t="s">
        <v>312</v>
      </c>
      <c r="F110" s="76"/>
      <c r="G110" s="23">
        <f>G111</f>
        <v>100</v>
      </c>
      <c r="H110" s="23">
        <f>H111</f>
        <v>0</v>
      </c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80">
        <f>W111</f>
        <v>100</v>
      </c>
    </row>
    <row r="111" spans="1:23" ht="12.75">
      <c r="A111" s="91" t="s">
        <v>352</v>
      </c>
      <c r="B111" s="76" t="s">
        <v>62</v>
      </c>
      <c r="C111" s="76" t="s">
        <v>282</v>
      </c>
      <c r="D111" s="76" t="s">
        <v>66</v>
      </c>
      <c r="E111" s="76" t="s">
        <v>312</v>
      </c>
      <c r="F111" s="76" t="s">
        <v>353</v>
      </c>
      <c r="G111" s="23">
        <f>100000/1000</f>
        <v>100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8">
        <f>G111+H111</f>
        <v>100</v>
      </c>
    </row>
    <row r="112" spans="1:25" ht="12.75">
      <c r="A112" s="73" t="s">
        <v>354</v>
      </c>
      <c r="B112" s="74"/>
      <c r="C112" s="74" t="s">
        <v>286</v>
      </c>
      <c r="D112" s="74"/>
      <c r="E112" s="74"/>
      <c r="F112" s="74"/>
      <c r="G112" s="20">
        <f>G113+G123+G154+G171</f>
        <v>899435.3999999999</v>
      </c>
      <c r="H112" s="20">
        <f>H113+H123+H154+H171</f>
        <v>10090.8</v>
      </c>
      <c r="I112" s="20">
        <f aca="true" t="shared" si="20" ref="I112:V112">I113+I123+I154+I171</f>
        <v>0</v>
      </c>
      <c r="J112" s="20">
        <f t="shared" si="20"/>
        <v>0</v>
      </c>
      <c r="K112" s="20">
        <f t="shared" si="20"/>
        <v>17776.490999999998</v>
      </c>
      <c r="L112" s="20">
        <f t="shared" si="20"/>
        <v>0</v>
      </c>
      <c r="M112" s="20">
        <f t="shared" si="20"/>
        <v>11972.300000000001</v>
      </c>
      <c r="N112" s="20">
        <f t="shared" si="20"/>
        <v>-1220.0000000000005</v>
      </c>
      <c r="O112" s="20">
        <f t="shared" si="20"/>
        <v>3959.4</v>
      </c>
      <c r="P112" s="20">
        <f>P113+P123+P154+P171</f>
        <v>-893.0000000000002</v>
      </c>
      <c r="Q112" s="20">
        <f t="shared" si="20"/>
        <v>-42634.8</v>
      </c>
      <c r="R112" s="20">
        <f t="shared" si="20"/>
        <v>0</v>
      </c>
      <c r="S112" s="20">
        <f t="shared" si="20"/>
        <v>1590.0000000000002</v>
      </c>
      <c r="T112" s="20">
        <f t="shared" si="20"/>
        <v>6744.300000000001</v>
      </c>
      <c r="U112" s="20">
        <f t="shared" si="20"/>
        <v>32684.600000000002</v>
      </c>
      <c r="V112" s="20">
        <f t="shared" si="20"/>
        <v>-2179.5</v>
      </c>
      <c r="W112" s="46">
        <f>W113+W123+W154+W171</f>
        <v>937325.991</v>
      </c>
      <c r="Y112" s="129"/>
    </row>
    <row r="113" spans="1:25" ht="12.75">
      <c r="A113" s="73" t="s">
        <v>355</v>
      </c>
      <c r="B113" s="74"/>
      <c r="C113" s="74" t="s">
        <v>286</v>
      </c>
      <c r="D113" s="74" t="s">
        <v>91</v>
      </c>
      <c r="E113" s="74"/>
      <c r="F113" s="74"/>
      <c r="G113" s="20">
        <f aca="true" t="shared" si="21" ref="G113:V115">G114</f>
        <v>187556.1</v>
      </c>
      <c r="H113" s="20">
        <f>H114+H117+H119+H121</f>
        <v>1182.5</v>
      </c>
      <c r="I113" s="20">
        <f aca="true" t="shared" si="22" ref="I113:V113">I114+I117+I119+I121</f>
        <v>0</v>
      </c>
      <c r="J113" s="20">
        <f t="shared" si="22"/>
        <v>-50</v>
      </c>
      <c r="K113" s="20">
        <f t="shared" si="22"/>
        <v>950</v>
      </c>
      <c r="L113" s="20">
        <f t="shared" si="22"/>
        <v>0</v>
      </c>
      <c r="M113" s="20">
        <f>M114+M117+M121</f>
        <v>11371.5</v>
      </c>
      <c r="N113" s="20">
        <f t="shared" si="22"/>
        <v>0</v>
      </c>
      <c r="O113" s="20">
        <f t="shared" si="22"/>
        <v>966.181</v>
      </c>
      <c r="P113" s="20">
        <f>P114+P117+P119+P121</f>
        <v>-11391.5</v>
      </c>
      <c r="Q113" s="20">
        <f t="shared" si="22"/>
        <v>2295.8</v>
      </c>
      <c r="R113" s="20">
        <f t="shared" si="22"/>
        <v>400</v>
      </c>
      <c r="S113" s="20">
        <f t="shared" si="22"/>
        <v>1133.737</v>
      </c>
      <c r="T113" s="20">
        <f t="shared" si="22"/>
        <v>5547.11463</v>
      </c>
      <c r="U113" s="20">
        <f t="shared" si="22"/>
        <v>1107.8</v>
      </c>
      <c r="V113" s="20">
        <f t="shared" si="22"/>
        <v>-2462.6</v>
      </c>
      <c r="W113" s="46">
        <f>W114+W117+W121+W119</f>
        <v>198606.63262999998</v>
      </c>
      <c r="Y113" s="129"/>
    </row>
    <row r="114" spans="1:23" ht="12.75">
      <c r="A114" s="100" t="s">
        <v>356</v>
      </c>
      <c r="B114" s="76" t="s">
        <v>62</v>
      </c>
      <c r="C114" s="76" t="s">
        <v>286</v>
      </c>
      <c r="D114" s="76" t="s">
        <v>91</v>
      </c>
      <c r="E114" s="76" t="s">
        <v>357</v>
      </c>
      <c r="F114" s="76"/>
      <c r="G114" s="23">
        <f t="shared" si="21"/>
        <v>187556.1</v>
      </c>
      <c r="H114" s="23">
        <f t="shared" si="21"/>
        <v>1182.5</v>
      </c>
      <c r="I114" s="23">
        <f t="shared" si="21"/>
        <v>0</v>
      </c>
      <c r="J114" s="23">
        <f t="shared" si="21"/>
        <v>-50</v>
      </c>
      <c r="K114" s="23">
        <f t="shared" si="21"/>
        <v>950</v>
      </c>
      <c r="L114" s="23">
        <f t="shared" si="21"/>
        <v>0</v>
      </c>
      <c r="M114" s="23">
        <f t="shared" si="21"/>
        <v>0</v>
      </c>
      <c r="N114" s="23">
        <f t="shared" si="21"/>
        <v>0</v>
      </c>
      <c r="O114" s="23">
        <f t="shared" si="21"/>
        <v>0</v>
      </c>
      <c r="P114" s="23">
        <f t="shared" si="21"/>
        <v>-20</v>
      </c>
      <c r="Q114" s="23">
        <f t="shared" si="21"/>
        <v>2295.8</v>
      </c>
      <c r="R114" s="23">
        <f t="shared" si="21"/>
        <v>400</v>
      </c>
      <c r="S114" s="23">
        <f t="shared" si="21"/>
        <v>1133.737</v>
      </c>
      <c r="T114" s="23">
        <f t="shared" si="21"/>
        <v>5517.11463</v>
      </c>
      <c r="U114" s="23">
        <f t="shared" si="21"/>
        <v>1137.8</v>
      </c>
      <c r="V114" s="23">
        <f t="shared" si="21"/>
        <v>-2462.6</v>
      </c>
      <c r="W114" s="80">
        <f>W115</f>
        <v>197640.45162999997</v>
      </c>
    </row>
    <row r="115" spans="1:23" ht="25.5">
      <c r="A115" s="75" t="s">
        <v>296</v>
      </c>
      <c r="B115" s="76" t="s">
        <v>62</v>
      </c>
      <c r="C115" s="76" t="s">
        <v>286</v>
      </c>
      <c r="D115" s="76" t="s">
        <v>91</v>
      </c>
      <c r="E115" s="76" t="s">
        <v>358</v>
      </c>
      <c r="F115" s="76"/>
      <c r="G115" s="23">
        <f>G116</f>
        <v>187556.1</v>
      </c>
      <c r="H115" s="23">
        <f t="shared" si="21"/>
        <v>1182.5</v>
      </c>
      <c r="I115" s="23">
        <f t="shared" si="21"/>
        <v>0</v>
      </c>
      <c r="J115" s="23">
        <f t="shared" si="21"/>
        <v>-50</v>
      </c>
      <c r="K115" s="23">
        <f t="shared" si="21"/>
        <v>950</v>
      </c>
      <c r="L115" s="23">
        <f t="shared" si="21"/>
        <v>0</v>
      </c>
      <c r="M115" s="23">
        <f t="shared" si="21"/>
        <v>0</v>
      </c>
      <c r="N115" s="23">
        <f t="shared" si="21"/>
        <v>0</v>
      </c>
      <c r="O115" s="23">
        <f t="shared" si="21"/>
        <v>0</v>
      </c>
      <c r="P115" s="23">
        <f aca="true" t="shared" si="23" ref="P115:V115">P116</f>
        <v>-20</v>
      </c>
      <c r="Q115" s="23">
        <f t="shared" si="23"/>
        <v>2295.8</v>
      </c>
      <c r="R115" s="23">
        <f t="shared" si="23"/>
        <v>400</v>
      </c>
      <c r="S115" s="23">
        <f t="shared" si="23"/>
        <v>1133.737</v>
      </c>
      <c r="T115" s="23">
        <f t="shared" si="23"/>
        <v>5517.11463</v>
      </c>
      <c r="U115" s="23">
        <f t="shared" si="23"/>
        <v>1137.8</v>
      </c>
      <c r="V115" s="23">
        <f t="shared" si="23"/>
        <v>-2462.6</v>
      </c>
      <c r="W115" s="80">
        <f>W116</f>
        <v>197640.45162999997</v>
      </c>
    </row>
    <row r="116" spans="1:23" ht="25.5">
      <c r="A116" s="75" t="s">
        <v>298</v>
      </c>
      <c r="B116" s="76" t="s">
        <v>62</v>
      </c>
      <c r="C116" s="76" t="s">
        <v>286</v>
      </c>
      <c r="D116" s="76" t="s">
        <v>91</v>
      </c>
      <c r="E116" s="76" t="s">
        <v>358</v>
      </c>
      <c r="F116" s="76" t="s">
        <v>299</v>
      </c>
      <c r="G116" s="23">
        <f>187556100/1000</f>
        <v>187556.1</v>
      </c>
      <c r="H116" s="77">
        <f>(582500+600000)/1000</f>
        <v>1182.5</v>
      </c>
      <c r="I116" s="77"/>
      <c r="J116" s="77">
        <f>-10-40</f>
        <v>-50</v>
      </c>
      <c r="K116" s="77">
        <f>500+151+299</f>
        <v>950</v>
      </c>
      <c r="L116" s="77"/>
      <c r="M116" s="77"/>
      <c r="N116" s="77"/>
      <c r="O116" s="77"/>
      <c r="P116" s="77">
        <f>-10-2-4-2-2</f>
        <v>-20</v>
      </c>
      <c r="Q116" s="77">
        <f>2225.3+70.5</f>
        <v>2295.8</v>
      </c>
      <c r="R116" s="77">
        <v>400</v>
      </c>
      <c r="S116" s="77">
        <v>1133.737</v>
      </c>
      <c r="T116" s="77">
        <f>5378.7+138.41463</f>
        <v>5517.11463</v>
      </c>
      <c r="U116" s="128">
        <f>1088.1+49.7</f>
        <v>1137.8</v>
      </c>
      <c r="V116" s="128">
        <f>-200-147-1200-300-500-150-100.6+80+55</f>
        <v>-2462.6</v>
      </c>
      <c r="W116" s="78">
        <f>G116+H116+J116+K116+P116+Q116+R116+T116+S116+U116+M116+V116</f>
        <v>197640.45162999997</v>
      </c>
    </row>
    <row r="117" spans="1:23" ht="51">
      <c r="A117" s="37" t="s">
        <v>359</v>
      </c>
      <c r="B117" s="76" t="s">
        <v>62</v>
      </c>
      <c r="C117" s="76" t="s">
        <v>286</v>
      </c>
      <c r="D117" s="76" t="s">
        <v>91</v>
      </c>
      <c r="E117" s="76" t="s">
        <v>360</v>
      </c>
      <c r="F117" s="76"/>
      <c r="G117" s="23"/>
      <c r="H117" s="77"/>
      <c r="I117" s="77"/>
      <c r="J117" s="77"/>
      <c r="K117" s="77"/>
      <c r="L117" s="77"/>
      <c r="M117" s="77">
        <f>M118</f>
        <v>2173</v>
      </c>
      <c r="N117" s="77"/>
      <c r="O117" s="77"/>
      <c r="P117" s="77">
        <f>P118</f>
        <v>-2173</v>
      </c>
      <c r="Q117" s="77"/>
      <c r="R117" s="77"/>
      <c r="S117" s="77"/>
      <c r="T117" s="77">
        <f>T118</f>
        <v>30</v>
      </c>
      <c r="U117" s="77">
        <f>U118</f>
        <v>-30</v>
      </c>
      <c r="V117" s="77"/>
      <c r="W117" s="78">
        <f>W118</f>
        <v>0</v>
      </c>
    </row>
    <row r="118" spans="1:23" ht="25.5">
      <c r="A118" s="75" t="s">
        <v>298</v>
      </c>
      <c r="B118" s="76" t="s">
        <v>62</v>
      </c>
      <c r="C118" s="76" t="s">
        <v>286</v>
      </c>
      <c r="D118" s="76" t="s">
        <v>91</v>
      </c>
      <c r="E118" s="76" t="s">
        <v>360</v>
      </c>
      <c r="F118" s="76" t="s">
        <v>299</v>
      </c>
      <c r="G118" s="23"/>
      <c r="H118" s="77"/>
      <c r="I118" s="77"/>
      <c r="J118" s="77"/>
      <c r="K118" s="77"/>
      <c r="L118" s="77"/>
      <c r="M118" s="77">
        <v>2173</v>
      </c>
      <c r="N118" s="77"/>
      <c r="O118" s="77"/>
      <c r="P118" s="77">
        <v>-2173</v>
      </c>
      <c r="Q118" s="77"/>
      <c r="R118" s="77"/>
      <c r="S118" s="77"/>
      <c r="T118" s="77">
        <v>30</v>
      </c>
      <c r="U118" s="77">
        <v>-30</v>
      </c>
      <c r="V118" s="77"/>
      <c r="W118" s="78">
        <f>T118+U118</f>
        <v>0</v>
      </c>
    </row>
    <row r="119" spans="1:23" ht="25.5">
      <c r="A119" s="75" t="s">
        <v>361</v>
      </c>
      <c r="B119" s="76" t="s">
        <v>62</v>
      </c>
      <c r="C119" s="76" t="s">
        <v>286</v>
      </c>
      <c r="D119" s="76" t="s">
        <v>91</v>
      </c>
      <c r="E119" s="76" t="s">
        <v>362</v>
      </c>
      <c r="F119" s="76"/>
      <c r="G119" s="23"/>
      <c r="H119" s="77"/>
      <c r="I119" s="77"/>
      <c r="J119" s="77"/>
      <c r="K119" s="77"/>
      <c r="L119" s="77"/>
      <c r="M119" s="77"/>
      <c r="N119" s="77"/>
      <c r="O119" s="77">
        <f>O120</f>
        <v>966.181</v>
      </c>
      <c r="P119" s="77"/>
      <c r="Q119" s="77"/>
      <c r="R119" s="77"/>
      <c r="S119" s="77"/>
      <c r="T119" s="77"/>
      <c r="U119" s="77"/>
      <c r="V119" s="77"/>
      <c r="W119" s="78">
        <f>O119</f>
        <v>966.181</v>
      </c>
    </row>
    <row r="120" spans="1:23" ht="25.5">
      <c r="A120" s="75" t="s">
        <v>298</v>
      </c>
      <c r="B120" s="76" t="s">
        <v>62</v>
      </c>
      <c r="C120" s="76" t="s">
        <v>286</v>
      </c>
      <c r="D120" s="76" t="s">
        <v>91</v>
      </c>
      <c r="E120" s="76" t="s">
        <v>362</v>
      </c>
      <c r="F120" s="76" t="s">
        <v>299</v>
      </c>
      <c r="G120" s="23"/>
      <c r="H120" s="77"/>
      <c r="I120" s="77"/>
      <c r="J120" s="77"/>
      <c r="K120" s="77"/>
      <c r="L120" s="77"/>
      <c r="M120" s="77"/>
      <c r="N120" s="77"/>
      <c r="O120" s="77">
        <v>966.181</v>
      </c>
      <c r="P120" s="77"/>
      <c r="Q120" s="77"/>
      <c r="R120" s="77"/>
      <c r="S120" s="77"/>
      <c r="T120" s="77"/>
      <c r="U120" s="77"/>
      <c r="V120" s="77"/>
      <c r="W120" s="78">
        <f>O120</f>
        <v>966.181</v>
      </c>
    </row>
    <row r="121" spans="1:23" ht="39.75" customHeight="1">
      <c r="A121" s="75" t="s">
        <v>363</v>
      </c>
      <c r="B121" s="76" t="s">
        <v>62</v>
      </c>
      <c r="C121" s="76" t="s">
        <v>286</v>
      </c>
      <c r="D121" s="76" t="s">
        <v>91</v>
      </c>
      <c r="E121" s="76" t="s">
        <v>364</v>
      </c>
      <c r="F121" s="76"/>
      <c r="G121" s="23"/>
      <c r="H121" s="77"/>
      <c r="I121" s="77"/>
      <c r="J121" s="77"/>
      <c r="K121" s="77"/>
      <c r="L121" s="77"/>
      <c r="M121" s="77">
        <f>M122</f>
        <v>9198.5</v>
      </c>
      <c r="N121" s="77"/>
      <c r="O121" s="77"/>
      <c r="P121" s="77">
        <f>P122</f>
        <v>-9198.5</v>
      </c>
      <c r="Q121" s="77"/>
      <c r="R121" s="77"/>
      <c r="S121" s="77"/>
      <c r="T121" s="77"/>
      <c r="U121" s="77"/>
      <c r="V121" s="77"/>
      <c r="W121" s="78">
        <f>W122</f>
        <v>0</v>
      </c>
    </row>
    <row r="122" spans="1:23" ht="25.5">
      <c r="A122" s="75" t="s">
        <v>298</v>
      </c>
      <c r="B122" s="76" t="s">
        <v>62</v>
      </c>
      <c r="C122" s="76" t="s">
        <v>286</v>
      </c>
      <c r="D122" s="76" t="s">
        <v>91</v>
      </c>
      <c r="E122" s="76" t="s">
        <v>364</v>
      </c>
      <c r="F122" s="76" t="s">
        <v>299</v>
      </c>
      <c r="G122" s="23"/>
      <c r="H122" s="77"/>
      <c r="I122" s="77"/>
      <c r="J122" s="77"/>
      <c r="K122" s="77"/>
      <c r="L122" s="77"/>
      <c r="M122" s="77">
        <v>9198.5</v>
      </c>
      <c r="N122" s="77"/>
      <c r="O122" s="77"/>
      <c r="P122" s="77">
        <v>-9198.5</v>
      </c>
      <c r="Q122" s="77"/>
      <c r="R122" s="77"/>
      <c r="S122" s="77"/>
      <c r="T122" s="77"/>
      <c r="U122" s="77"/>
      <c r="V122" s="77"/>
      <c r="W122" s="78">
        <f>M122+P122</f>
        <v>0</v>
      </c>
    </row>
    <row r="123" spans="1:25" ht="12.75">
      <c r="A123" s="73" t="s">
        <v>365</v>
      </c>
      <c r="B123" s="74"/>
      <c r="C123" s="74" t="s">
        <v>286</v>
      </c>
      <c r="D123" s="74" t="s">
        <v>102</v>
      </c>
      <c r="E123" s="76"/>
      <c r="F123" s="76"/>
      <c r="G123" s="20">
        <f>G124+G136</f>
        <v>665104.5</v>
      </c>
      <c r="H123" s="20">
        <f>H124+H136+H131</f>
        <v>3400</v>
      </c>
      <c r="I123" s="20">
        <f aca="true" t="shared" si="24" ref="I123:V123">I124+I136+I131</f>
        <v>0</v>
      </c>
      <c r="J123" s="20">
        <f t="shared" si="24"/>
        <v>-55</v>
      </c>
      <c r="K123" s="20">
        <f t="shared" si="24"/>
        <v>8215.7</v>
      </c>
      <c r="L123" s="20">
        <f t="shared" si="24"/>
        <v>0</v>
      </c>
      <c r="M123" s="20">
        <f t="shared" si="24"/>
        <v>0</v>
      </c>
      <c r="N123" s="20">
        <f t="shared" si="24"/>
        <v>-2529.4000000000005</v>
      </c>
      <c r="O123" s="20">
        <f t="shared" si="24"/>
        <v>2993.219</v>
      </c>
      <c r="P123" s="20">
        <f>P124+P136+P131</f>
        <v>10255.07</v>
      </c>
      <c r="Q123" s="20">
        <f t="shared" si="24"/>
        <v>-45895.700000000004</v>
      </c>
      <c r="R123" s="20">
        <f t="shared" si="24"/>
        <v>0</v>
      </c>
      <c r="S123" s="20">
        <f t="shared" si="24"/>
        <v>52.199</v>
      </c>
      <c r="T123" s="20">
        <f t="shared" si="24"/>
        <v>417.4853700000001</v>
      </c>
      <c r="U123" s="20">
        <f t="shared" si="24"/>
        <v>31576.800000000003</v>
      </c>
      <c r="V123" s="20">
        <f t="shared" si="24"/>
        <v>-381.9000000000001</v>
      </c>
      <c r="W123" s="46">
        <f>W124+W136+W131</f>
        <v>673152.97337</v>
      </c>
      <c r="Y123" s="129"/>
    </row>
    <row r="124" spans="1:23" ht="12.75">
      <c r="A124" s="73" t="s">
        <v>366</v>
      </c>
      <c r="B124" s="74"/>
      <c r="C124" s="74" t="s">
        <v>286</v>
      </c>
      <c r="D124" s="74" t="s">
        <v>102</v>
      </c>
      <c r="E124" s="74" t="s">
        <v>367</v>
      </c>
      <c r="F124" s="74"/>
      <c r="G124" s="20">
        <f>G125+G128</f>
        <v>176277.9</v>
      </c>
      <c r="H124" s="20">
        <f>H125+H128</f>
        <v>3400</v>
      </c>
      <c r="I124" s="20">
        <f aca="true" t="shared" si="25" ref="I124:V124">I125+I128</f>
        <v>0</v>
      </c>
      <c r="J124" s="20">
        <f t="shared" si="25"/>
        <v>-55</v>
      </c>
      <c r="K124" s="20">
        <f t="shared" si="25"/>
        <v>1050.9</v>
      </c>
      <c r="L124" s="20">
        <f t="shared" si="25"/>
        <v>0</v>
      </c>
      <c r="M124" s="20">
        <f t="shared" si="25"/>
        <v>0</v>
      </c>
      <c r="N124" s="20">
        <f t="shared" si="25"/>
        <v>-2529.4000000000005</v>
      </c>
      <c r="O124" s="20">
        <f t="shared" si="25"/>
        <v>1309.4</v>
      </c>
      <c r="P124" s="20">
        <f t="shared" si="25"/>
        <v>-1117.43</v>
      </c>
      <c r="Q124" s="20">
        <f t="shared" si="25"/>
        <v>3672.2</v>
      </c>
      <c r="R124" s="20">
        <f t="shared" si="25"/>
        <v>0</v>
      </c>
      <c r="S124" s="20">
        <f t="shared" si="25"/>
        <v>52.199</v>
      </c>
      <c r="T124" s="20">
        <f>T125+T128</f>
        <v>417.4853700000001</v>
      </c>
      <c r="U124" s="20">
        <f t="shared" si="25"/>
        <v>0</v>
      </c>
      <c r="V124" s="20">
        <f t="shared" si="25"/>
        <v>-381.9000000000001</v>
      </c>
      <c r="W124" s="46">
        <f>W125+W128</f>
        <v>182096.35437000002</v>
      </c>
    </row>
    <row r="125" spans="1:25" ht="25.5">
      <c r="A125" s="100" t="s">
        <v>368</v>
      </c>
      <c r="B125" s="76" t="s">
        <v>62</v>
      </c>
      <c r="C125" s="76" t="s">
        <v>286</v>
      </c>
      <c r="D125" s="76" t="s">
        <v>102</v>
      </c>
      <c r="E125" s="76" t="s">
        <v>369</v>
      </c>
      <c r="F125" s="76"/>
      <c r="G125" s="23">
        <f aca="true" t="shared" si="26" ref="G125:K126">G126</f>
        <v>114762.7</v>
      </c>
      <c r="H125" s="23">
        <f t="shared" si="26"/>
        <v>3400</v>
      </c>
      <c r="I125" s="23">
        <f t="shared" si="26"/>
        <v>0</v>
      </c>
      <c r="J125" s="23">
        <f t="shared" si="26"/>
        <v>-55</v>
      </c>
      <c r="K125" s="23">
        <f t="shared" si="26"/>
        <v>700.9</v>
      </c>
      <c r="L125" s="23"/>
      <c r="M125" s="23"/>
      <c r="N125" s="23">
        <f aca="true" t="shared" si="27" ref="N125:Q126">N126</f>
        <v>-596.9000000000003</v>
      </c>
      <c r="O125" s="23">
        <f t="shared" si="27"/>
        <v>1309.4</v>
      </c>
      <c r="P125" s="23">
        <f t="shared" si="27"/>
        <v>-1323.43</v>
      </c>
      <c r="Q125" s="23">
        <f t="shared" si="27"/>
        <v>3152.2</v>
      </c>
      <c r="R125" s="23"/>
      <c r="S125" s="23"/>
      <c r="T125" s="23">
        <f aca="true" t="shared" si="28" ref="T125:W126">T126</f>
        <v>-338.41463</v>
      </c>
      <c r="U125" s="23">
        <f t="shared" si="28"/>
        <v>0</v>
      </c>
      <c r="V125" s="23">
        <f t="shared" si="28"/>
        <v>-381.9000000000001</v>
      </c>
      <c r="W125" s="80">
        <f t="shared" si="28"/>
        <v>120629.55537</v>
      </c>
      <c r="Y125" s="129"/>
    </row>
    <row r="126" spans="1:23" ht="25.5">
      <c r="A126" s="75" t="s">
        <v>296</v>
      </c>
      <c r="B126" s="76" t="s">
        <v>62</v>
      </c>
      <c r="C126" s="76" t="s">
        <v>286</v>
      </c>
      <c r="D126" s="76" t="s">
        <v>102</v>
      </c>
      <c r="E126" s="76" t="s">
        <v>370</v>
      </c>
      <c r="F126" s="76"/>
      <c r="G126" s="23">
        <f t="shared" si="26"/>
        <v>114762.7</v>
      </c>
      <c r="H126" s="23">
        <f t="shared" si="26"/>
        <v>3400</v>
      </c>
      <c r="I126" s="23">
        <f t="shared" si="26"/>
        <v>0</v>
      </c>
      <c r="J126" s="23">
        <f t="shared" si="26"/>
        <v>-55</v>
      </c>
      <c r="K126" s="23">
        <f t="shared" si="26"/>
        <v>700.9</v>
      </c>
      <c r="L126" s="23"/>
      <c r="M126" s="23"/>
      <c r="N126" s="23">
        <f t="shared" si="27"/>
        <v>-596.9000000000003</v>
      </c>
      <c r="O126" s="23">
        <f t="shared" si="27"/>
        <v>1309.4</v>
      </c>
      <c r="P126" s="23">
        <f t="shared" si="27"/>
        <v>-1323.43</v>
      </c>
      <c r="Q126" s="23">
        <f t="shared" si="27"/>
        <v>3152.2</v>
      </c>
      <c r="R126" s="23"/>
      <c r="S126" s="23"/>
      <c r="T126" s="23">
        <f t="shared" si="28"/>
        <v>-338.41463</v>
      </c>
      <c r="U126" s="23">
        <f t="shared" si="28"/>
        <v>0</v>
      </c>
      <c r="V126" s="23">
        <f t="shared" si="28"/>
        <v>-381.9000000000001</v>
      </c>
      <c r="W126" s="80">
        <f t="shared" si="28"/>
        <v>120629.55537</v>
      </c>
    </row>
    <row r="127" spans="1:23" ht="25.5">
      <c r="A127" s="75" t="s">
        <v>298</v>
      </c>
      <c r="B127" s="76" t="s">
        <v>62</v>
      </c>
      <c r="C127" s="76" t="s">
        <v>286</v>
      </c>
      <c r="D127" s="76" t="s">
        <v>102</v>
      </c>
      <c r="E127" s="76" t="s">
        <v>370</v>
      </c>
      <c r="F127" s="76" t="s">
        <v>299</v>
      </c>
      <c r="G127" s="23">
        <f>114762700/1000</f>
        <v>114762.7</v>
      </c>
      <c r="H127" s="77">
        <f>(400000+3000000)/1000</f>
        <v>3400</v>
      </c>
      <c r="I127" s="77"/>
      <c r="J127" s="77">
        <f>-20-5-30</f>
        <v>-55</v>
      </c>
      <c r="K127" s="77">
        <f>47.9+150+84+100+100+100+65+54</f>
        <v>700.9</v>
      </c>
      <c r="L127" s="77"/>
      <c r="M127" s="77"/>
      <c r="N127" s="77">
        <f>2946.7-930.2-3699.4+170+1000-84</f>
        <v>-596.9000000000003</v>
      </c>
      <c r="O127" s="77">
        <v>1309.4</v>
      </c>
      <c r="P127" s="77">
        <f>-1-10-212.43-1100</f>
        <v>-1323.43</v>
      </c>
      <c r="Q127" s="77">
        <f>2550+602.2</f>
        <v>3152.2</v>
      </c>
      <c r="R127" s="77"/>
      <c r="S127" s="77"/>
      <c r="T127" s="77">
        <f>-200-138.41463</f>
        <v>-338.41463</v>
      </c>
      <c r="U127" s="77"/>
      <c r="V127" s="77">
        <f>-100+147-131.8-307.6-602.5-187+300+500-80+80</f>
        <v>-381.9000000000001</v>
      </c>
      <c r="W127" s="78">
        <f>G127+H127+J127+K127+N127+P127+O127+Q127+R127+T127+V127</f>
        <v>120629.55537</v>
      </c>
    </row>
    <row r="128" spans="1:23" ht="12.75">
      <c r="A128" s="75" t="s">
        <v>371</v>
      </c>
      <c r="B128" s="76" t="s">
        <v>62</v>
      </c>
      <c r="C128" s="76" t="s">
        <v>286</v>
      </c>
      <c r="D128" s="76" t="s">
        <v>102</v>
      </c>
      <c r="E128" s="76" t="s">
        <v>372</v>
      </c>
      <c r="F128" s="76"/>
      <c r="G128" s="23">
        <f aca="true" t="shared" si="29" ref="G128:K129">G129</f>
        <v>61515.2</v>
      </c>
      <c r="H128" s="23">
        <f t="shared" si="29"/>
        <v>0</v>
      </c>
      <c r="I128" s="23">
        <f t="shared" si="29"/>
        <v>0</v>
      </c>
      <c r="J128" s="23">
        <f t="shared" si="29"/>
        <v>0</v>
      </c>
      <c r="K128" s="23">
        <f t="shared" si="29"/>
        <v>350</v>
      </c>
      <c r="L128" s="23"/>
      <c r="M128" s="23"/>
      <c r="N128" s="23">
        <f>N129</f>
        <v>-1932.5</v>
      </c>
      <c r="O128" s="23"/>
      <c r="P128" s="23">
        <f>P129</f>
        <v>206</v>
      </c>
      <c r="Q128" s="23">
        <f>Q129</f>
        <v>520</v>
      </c>
      <c r="R128" s="23"/>
      <c r="S128" s="23">
        <f aca="true" t="shared" si="30" ref="S128:W129">S129</f>
        <v>52.199</v>
      </c>
      <c r="T128" s="23">
        <f t="shared" si="30"/>
        <v>755.9000000000001</v>
      </c>
      <c r="U128" s="23"/>
      <c r="V128" s="23"/>
      <c r="W128" s="80">
        <f t="shared" si="30"/>
        <v>61466.799</v>
      </c>
    </row>
    <row r="129" spans="1:23" ht="25.5">
      <c r="A129" s="75" t="s">
        <v>296</v>
      </c>
      <c r="B129" s="76" t="s">
        <v>62</v>
      </c>
      <c r="C129" s="76" t="s">
        <v>286</v>
      </c>
      <c r="D129" s="76" t="s">
        <v>102</v>
      </c>
      <c r="E129" s="76" t="s">
        <v>373</v>
      </c>
      <c r="F129" s="76"/>
      <c r="G129" s="23">
        <f t="shared" si="29"/>
        <v>61515.2</v>
      </c>
      <c r="H129" s="23">
        <f t="shared" si="29"/>
        <v>0</v>
      </c>
      <c r="I129" s="23">
        <f t="shared" si="29"/>
        <v>0</v>
      </c>
      <c r="J129" s="23">
        <f t="shared" si="29"/>
        <v>0</v>
      </c>
      <c r="K129" s="23">
        <f t="shared" si="29"/>
        <v>350</v>
      </c>
      <c r="L129" s="23"/>
      <c r="M129" s="23"/>
      <c r="N129" s="23">
        <f>N130</f>
        <v>-1932.5</v>
      </c>
      <c r="O129" s="23"/>
      <c r="P129" s="23">
        <f>P130</f>
        <v>206</v>
      </c>
      <c r="Q129" s="23">
        <f>Q130</f>
        <v>520</v>
      </c>
      <c r="R129" s="23"/>
      <c r="S129" s="23">
        <f t="shared" si="30"/>
        <v>52.199</v>
      </c>
      <c r="T129" s="23">
        <f t="shared" si="30"/>
        <v>755.9000000000001</v>
      </c>
      <c r="U129" s="23"/>
      <c r="V129" s="23"/>
      <c r="W129" s="80">
        <f t="shared" si="30"/>
        <v>61466.799</v>
      </c>
    </row>
    <row r="130" spans="1:23" ht="25.5">
      <c r="A130" s="75" t="s">
        <v>298</v>
      </c>
      <c r="B130" s="76" t="s">
        <v>62</v>
      </c>
      <c r="C130" s="76" t="s">
        <v>286</v>
      </c>
      <c r="D130" s="76" t="s">
        <v>102</v>
      </c>
      <c r="E130" s="76" t="s">
        <v>373</v>
      </c>
      <c r="F130" s="76" t="s">
        <v>299</v>
      </c>
      <c r="G130" s="23">
        <f>61515200/1000</f>
        <v>61515.2</v>
      </c>
      <c r="H130" s="77"/>
      <c r="I130" s="77"/>
      <c r="J130" s="77"/>
      <c r="K130" s="77">
        <f>20+330</f>
        <v>350</v>
      </c>
      <c r="L130" s="77"/>
      <c r="M130" s="77"/>
      <c r="N130" s="77">
        <f>-2016.5+84</f>
        <v>-1932.5</v>
      </c>
      <c r="O130" s="77"/>
      <c r="P130" s="77">
        <v>206</v>
      </c>
      <c r="Q130" s="77">
        <f>190+330</f>
        <v>520</v>
      </c>
      <c r="R130" s="77"/>
      <c r="S130" s="77">
        <f>52.199</f>
        <v>52.199</v>
      </c>
      <c r="T130" s="77">
        <f>692.7+63.2</f>
        <v>755.9000000000001</v>
      </c>
      <c r="U130" s="77"/>
      <c r="V130" s="77"/>
      <c r="W130" s="78">
        <f>G130+H130+K130+N130+O130+P130+Q130+R130+T130+S130</f>
        <v>61466.799</v>
      </c>
    </row>
    <row r="131" spans="1:23" ht="25.5">
      <c r="A131" s="82" t="s">
        <v>374</v>
      </c>
      <c r="B131" s="76" t="s">
        <v>62</v>
      </c>
      <c r="C131" s="76" t="s">
        <v>286</v>
      </c>
      <c r="D131" s="76" t="s">
        <v>102</v>
      </c>
      <c r="E131" s="76" t="s">
        <v>375</v>
      </c>
      <c r="F131" s="76"/>
      <c r="G131" s="23"/>
      <c r="H131" s="77"/>
      <c r="I131" s="77"/>
      <c r="J131" s="77"/>
      <c r="K131" s="77">
        <f>K132</f>
        <v>8000</v>
      </c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8">
        <f>W132</f>
        <v>8000</v>
      </c>
    </row>
    <row r="132" spans="1:23" ht="51">
      <c r="A132" s="75" t="s">
        <v>376</v>
      </c>
      <c r="B132" s="76" t="s">
        <v>62</v>
      </c>
      <c r="C132" s="76" t="s">
        <v>286</v>
      </c>
      <c r="D132" s="76" t="s">
        <v>102</v>
      </c>
      <c r="E132" s="76" t="s">
        <v>377</v>
      </c>
      <c r="F132" s="76"/>
      <c r="G132" s="23"/>
      <c r="H132" s="77"/>
      <c r="I132" s="77"/>
      <c r="J132" s="77"/>
      <c r="K132" s="77">
        <f>K133</f>
        <v>8000</v>
      </c>
      <c r="L132" s="77">
        <f>L133</f>
        <v>0</v>
      </c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8">
        <f>W133</f>
        <v>8000</v>
      </c>
    </row>
    <row r="133" spans="1:23" ht="25.5">
      <c r="A133" s="75" t="s">
        <v>298</v>
      </c>
      <c r="B133" s="76" t="s">
        <v>62</v>
      </c>
      <c r="C133" s="76" t="s">
        <v>286</v>
      </c>
      <c r="D133" s="76" t="s">
        <v>102</v>
      </c>
      <c r="E133" s="76" t="s">
        <v>377</v>
      </c>
      <c r="F133" s="76" t="s">
        <v>299</v>
      </c>
      <c r="G133" s="23"/>
      <c r="H133" s="77"/>
      <c r="I133" s="77"/>
      <c r="J133" s="77"/>
      <c r="K133" s="77">
        <v>8000</v>
      </c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8">
        <f>L133+K133</f>
        <v>8000</v>
      </c>
    </row>
    <row r="134" spans="1:23" ht="76.5" hidden="1">
      <c r="A134" s="101" t="s">
        <v>113</v>
      </c>
      <c r="B134" s="76" t="s">
        <v>62</v>
      </c>
      <c r="C134" s="76" t="s">
        <v>286</v>
      </c>
      <c r="D134" s="76" t="s">
        <v>102</v>
      </c>
      <c r="E134" s="76" t="s">
        <v>378</v>
      </c>
      <c r="F134" s="76"/>
      <c r="G134" s="23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8"/>
    </row>
    <row r="135" spans="1:23" ht="25.5" hidden="1">
      <c r="A135" s="97" t="s">
        <v>298</v>
      </c>
      <c r="B135" s="76" t="s">
        <v>62</v>
      </c>
      <c r="C135" s="76" t="s">
        <v>286</v>
      </c>
      <c r="D135" s="76" t="s">
        <v>102</v>
      </c>
      <c r="E135" s="76" t="s">
        <v>378</v>
      </c>
      <c r="F135" s="76" t="s">
        <v>299</v>
      </c>
      <c r="G135" s="23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8"/>
    </row>
    <row r="136" spans="1:25" ht="14.25" customHeight="1">
      <c r="A136" s="102" t="s">
        <v>379</v>
      </c>
      <c r="B136" s="74" t="s">
        <v>62</v>
      </c>
      <c r="C136" s="74" t="s">
        <v>286</v>
      </c>
      <c r="D136" s="74" t="s">
        <v>102</v>
      </c>
      <c r="E136" s="74" t="s">
        <v>380</v>
      </c>
      <c r="F136" s="74"/>
      <c r="G136" s="20">
        <f>G137+G139</f>
        <v>488826.6</v>
      </c>
      <c r="H136" s="20">
        <f>H137+H139</f>
        <v>0</v>
      </c>
      <c r="I136" s="20">
        <f aca="true" t="shared" si="31" ref="I136:T136">I137+I139</f>
        <v>0</v>
      </c>
      <c r="J136" s="20">
        <f t="shared" si="31"/>
        <v>0</v>
      </c>
      <c r="K136" s="20">
        <f t="shared" si="31"/>
        <v>-835.2</v>
      </c>
      <c r="L136" s="20">
        <f t="shared" si="31"/>
        <v>0</v>
      </c>
      <c r="M136" s="20">
        <f t="shared" si="31"/>
        <v>0</v>
      </c>
      <c r="N136" s="20">
        <f t="shared" si="31"/>
        <v>0</v>
      </c>
      <c r="O136" s="20">
        <f t="shared" si="31"/>
        <v>1683.819</v>
      </c>
      <c r="P136" s="20">
        <f t="shared" si="31"/>
        <v>11372.5</v>
      </c>
      <c r="Q136" s="20">
        <f t="shared" si="31"/>
        <v>-49567.9</v>
      </c>
      <c r="R136" s="20">
        <f t="shared" si="31"/>
        <v>0</v>
      </c>
      <c r="S136" s="20">
        <f t="shared" si="31"/>
        <v>0</v>
      </c>
      <c r="T136" s="20">
        <f t="shared" si="31"/>
        <v>0</v>
      </c>
      <c r="U136" s="20">
        <f>U137+U139</f>
        <v>31576.800000000003</v>
      </c>
      <c r="V136" s="20"/>
      <c r="W136" s="46">
        <f>W137+W139</f>
        <v>483056.61900000006</v>
      </c>
      <c r="Y136" s="129"/>
    </row>
    <row r="137" spans="1:23" ht="89.25">
      <c r="A137" s="86" t="s">
        <v>381</v>
      </c>
      <c r="B137" s="76" t="s">
        <v>62</v>
      </c>
      <c r="C137" s="76" t="s">
        <v>286</v>
      </c>
      <c r="D137" s="76" t="s">
        <v>102</v>
      </c>
      <c r="E137" s="76" t="s">
        <v>382</v>
      </c>
      <c r="F137" s="76"/>
      <c r="G137" s="23">
        <f aca="true" t="shared" si="32" ref="G137:U137">G138</f>
        <v>72977</v>
      </c>
      <c r="H137" s="23">
        <f t="shared" si="32"/>
        <v>0</v>
      </c>
      <c r="I137" s="23">
        <f t="shared" si="32"/>
        <v>0</v>
      </c>
      <c r="J137" s="23">
        <f t="shared" si="32"/>
        <v>0</v>
      </c>
      <c r="K137" s="23">
        <f t="shared" si="32"/>
        <v>-835.2</v>
      </c>
      <c r="L137" s="23">
        <f t="shared" si="32"/>
        <v>0</v>
      </c>
      <c r="M137" s="23">
        <f t="shared" si="32"/>
        <v>0</v>
      </c>
      <c r="N137" s="23">
        <f t="shared" si="32"/>
        <v>0</v>
      </c>
      <c r="O137" s="23">
        <f t="shared" si="32"/>
        <v>0</v>
      </c>
      <c r="P137" s="23">
        <f t="shared" si="32"/>
        <v>0</v>
      </c>
      <c r="Q137" s="23">
        <f t="shared" si="32"/>
        <v>-6665.2</v>
      </c>
      <c r="R137" s="23">
        <f t="shared" si="32"/>
        <v>0</v>
      </c>
      <c r="S137" s="23">
        <f t="shared" si="32"/>
        <v>0</v>
      </c>
      <c r="T137" s="23">
        <f t="shared" si="32"/>
        <v>0</v>
      </c>
      <c r="U137" s="23">
        <f t="shared" si="32"/>
        <v>9342.6</v>
      </c>
      <c r="V137" s="23"/>
      <c r="W137" s="80">
        <f>W138</f>
        <v>74819.20000000001</v>
      </c>
    </row>
    <row r="138" spans="1:23" ht="25.5">
      <c r="A138" s="97" t="s">
        <v>298</v>
      </c>
      <c r="B138" s="76" t="s">
        <v>62</v>
      </c>
      <c r="C138" s="76" t="s">
        <v>286</v>
      </c>
      <c r="D138" s="76" t="s">
        <v>102</v>
      </c>
      <c r="E138" s="76" t="s">
        <v>382</v>
      </c>
      <c r="F138" s="76" t="s">
        <v>299</v>
      </c>
      <c r="G138" s="23">
        <f>72977000/1000</f>
        <v>72977</v>
      </c>
      <c r="H138" s="77"/>
      <c r="I138" s="77"/>
      <c r="J138" s="77"/>
      <c r="K138" s="77">
        <v>-835.2</v>
      </c>
      <c r="L138" s="77"/>
      <c r="M138" s="77"/>
      <c r="N138" s="77"/>
      <c r="O138" s="77"/>
      <c r="P138" s="77"/>
      <c r="Q138" s="77">
        <v>-6665.2</v>
      </c>
      <c r="R138" s="77"/>
      <c r="S138" s="77"/>
      <c r="T138" s="77"/>
      <c r="U138" s="77">
        <f>1208.9+226.6+7907.1</f>
        <v>9342.6</v>
      </c>
      <c r="V138" s="77"/>
      <c r="W138" s="78">
        <f>G138+H138+L138+K138+R138+Q138+U138</f>
        <v>74819.20000000001</v>
      </c>
    </row>
    <row r="139" spans="1:25" ht="25.5">
      <c r="A139" s="75" t="s">
        <v>383</v>
      </c>
      <c r="B139" s="76"/>
      <c r="C139" s="76" t="s">
        <v>286</v>
      </c>
      <c r="D139" s="76" t="s">
        <v>102</v>
      </c>
      <c r="E139" s="76" t="s">
        <v>384</v>
      </c>
      <c r="F139" s="76"/>
      <c r="G139" s="90">
        <f>G140+G146</f>
        <v>415849.6</v>
      </c>
      <c r="H139" s="90">
        <f>H140+H146+H148+H150+H152</f>
        <v>0</v>
      </c>
      <c r="I139" s="90">
        <f aca="true" t="shared" si="33" ref="I139:U139">I140+I146+I148+I150+I152</f>
        <v>0</v>
      </c>
      <c r="J139" s="90">
        <f t="shared" si="33"/>
        <v>0</v>
      </c>
      <c r="K139" s="90">
        <f t="shared" si="33"/>
        <v>0</v>
      </c>
      <c r="L139" s="90">
        <f t="shared" si="33"/>
        <v>0</v>
      </c>
      <c r="M139" s="90">
        <f t="shared" si="33"/>
        <v>0</v>
      </c>
      <c r="N139" s="90">
        <f t="shared" si="33"/>
        <v>0</v>
      </c>
      <c r="O139" s="90">
        <f t="shared" si="33"/>
        <v>1683.819</v>
      </c>
      <c r="P139" s="90">
        <f>P140+P146+P148+P150+P152</f>
        <v>11372.5</v>
      </c>
      <c r="Q139" s="90">
        <f t="shared" si="33"/>
        <v>-42902.700000000004</v>
      </c>
      <c r="R139" s="90">
        <f t="shared" si="33"/>
        <v>0</v>
      </c>
      <c r="S139" s="90">
        <f t="shared" si="33"/>
        <v>0</v>
      </c>
      <c r="T139" s="90">
        <f t="shared" si="33"/>
        <v>0</v>
      </c>
      <c r="U139" s="90">
        <f t="shared" si="33"/>
        <v>22234.2</v>
      </c>
      <c r="V139" s="90"/>
      <c r="W139" s="90">
        <f>W140+W146+W148+W150+W152</f>
        <v>408237.41900000005</v>
      </c>
      <c r="Y139" s="129"/>
    </row>
    <row r="140" spans="1:23" ht="51">
      <c r="A140" s="75" t="s">
        <v>385</v>
      </c>
      <c r="B140" s="76" t="s">
        <v>62</v>
      </c>
      <c r="C140" s="76" t="s">
        <v>286</v>
      </c>
      <c r="D140" s="76" t="s">
        <v>102</v>
      </c>
      <c r="E140" s="76" t="s">
        <v>386</v>
      </c>
      <c r="F140" s="76"/>
      <c r="G140" s="23">
        <f>G141</f>
        <v>326821.6</v>
      </c>
      <c r="H140" s="23">
        <f aca="true" t="shared" si="34" ref="H140:U140">H141</f>
        <v>0</v>
      </c>
      <c r="I140" s="23">
        <f t="shared" si="34"/>
        <v>0</v>
      </c>
      <c r="J140" s="23">
        <f t="shared" si="34"/>
        <v>0</v>
      </c>
      <c r="K140" s="23">
        <f t="shared" si="34"/>
        <v>0</v>
      </c>
      <c r="L140" s="23">
        <f t="shared" si="34"/>
        <v>0</v>
      </c>
      <c r="M140" s="23">
        <f t="shared" si="34"/>
        <v>0</v>
      </c>
      <c r="N140" s="23">
        <f t="shared" si="34"/>
        <v>0</v>
      </c>
      <c r="O140" s="23">
        <f t="shared" si="34"/>
        <v>0</v>
      </c>
      <c r="P140" s="23">
        <f t="shared" si="34"/>
        <v>0</v>
      </c>
      <c r="Q140" s="23">
        <f t="shared" si="34"/>
        <v>-43877.8</v>
      </c>
      <c r="R140" s="23">
        <f t="shared" si="34"/>
        <v>0</v>
      </c>
      <c r="S140" s="23">
        <f t="shared" si="34"/>
        <v>0</v>
      </c>
      <c r="T140" s="23">
        <f t="shared" si="34"/>
        <v>0</v>
      </c>
      <c r="U140" s="23">
        <f t="shared" si="34"/>
        <v>22029.4</v>
      </c>
      <c r="V140" s="23"/>
      <c r="W140" s="80">
        <f>W141</f>
        <v>304973.2</v>
      </c>
    </row>
    <row r="141" spans="1:23" ht="25.5">
      <c r="A141" s="75" t="s">
        <v>298</v>
      </c>
      <c r="B141" s="76" t="s">
        <v>62</v>
      </c>
      <c r="C141" s="76" t="s">
        <v>286</v>
      </c>
      <c r="D141" s="76" t="s">
        <v>102</v>
      </c>
      <c r="E141" s="76" t="s">
        <v>386</v>
      </c>
      <c r="F141" s="76" t="s">
        <v>299</v>
      </c>
      <c r="G141" s="23">
        <f>326821600/1000</f>
        <v>326821.6</v>
      </c>
      <c r="H141" s="77"/>
      <c r="I141" s="77"/>
      <c r="J141" s="77"/>
      <c r="K141" s="77"/>
      <c r="L141" s="77"/>
      <c r="M141" s="77"/>
      <c r="N141" s="77"/>
      <c r="O141" s="77"/>
      <c r="P141" s="77"/>
      <c r="Q141" s="77">
        <v>-43877.8</v>
      </c>
      <c r="R141" s="77"/>
      <c r="S141" s="77"/>
      <c r="T141" s="77"/>
      <c r="U141" s="77">
        <f>20658.2+1371.2</f>
        <v>22029.4</v>
      </c>
      <c r="V141" s="77"/>
      <c r="W141" s="78">
        <f>G141+H141+Q141+U141</f>
        <v>304973.2</v>
      </c>
    </row>
    <row r="142" spans="1:23" ht="38.25" hidden="1">
      <c r="A142" s="75" t="s">
        <v>387</v>
      </c>
      <c r="B142" s="76" t="s">
        <v>62</v>
      </c>
      <c r="C142" s="76" t="s">
        <v>286</v>
      </c>
      <c r="D142" s="76" t="s">
        <v>102</v>
      </c>
      <c r="E142" s="76" t="s">
        <v>388</v>
      </c>
      <c r="F142" s="76"/>
      <c r="G142" s="23">
        <v>0</v>
      </c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8"/>
    </row>
    <row r="143" spans="1:23" ht="25.5" hidden="1">
      <c r="A143" s="75" t="s">
        <v>298</v>
      </c>
      <c r="B143" s="76" t="s">
        <v>62</v>
      </c>
      <c r="C143" s="76" t="s">
        <v>286</v>
      </c>
      <c r="D143" s="76" t="s">
        <v>102</v>
      </c>
      <c r="E143" s="76" t="s">
        <v>388</v>
      </c>
      <c r="F143" s="76" t="s">
        <v>299</v>
      </c>
      <c r="G143" s="23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8"/>
    </row>
    <row r="144" spans="1:23" ht="38.25" hidden="1">
      <c r="A144" s="75" t="s">
        <v>389</v>
      </c>
      <c r="B144" s="76" t="s">
        <v>62</v>
      </c>
      <c r="C144" s="76" t="s">
        <v>286</v>
      </c>
      <c r="D144" s="76" t="s">
        <v>102</v>
      </c>
      <c r="E144" s="76" t="s">
        <v>390</v>
      </c>
      <c r="F144" s="76"/>
      <c r="G144" s="23">
        <v>0</v>
      </c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8"/>
    </row>
    <row r="145" spans="1:23" ht="25.5" hidden="1">
      <c r="A145" s="75" t="s">
        <v>298</v>
      </c>
      <c r="B145" s="76" t="s">
        <v>62</v>
      </c>
      <c r="C145" s="76" t="s">
        <v>286</v>
      </c>
      <c r="D145" s="76" t="s">
        <v>102</v>
      </c>
      <c r="E145" s="76" t="s">
        <v>390</v>
      </c>
      <c r="F145" s="76" t="s">
        <v>299</v>
      </c>
      <c r="G145" s="23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8"/>
    </row>
    <row r="146" spans="1:23" ht="38.25">
      <c r="A146" s="75" t="s">
        <v>391</v>
      </c>
      <c r="B146" s="76" t="s">
        <v>62</v>
      </c>
      <c r="C146" s="76" t="s">
        <v>286</v>
      </c>
      <c r="D146" s="76" t="s">
        <v>102</v>
      </c>
      <c r="E146" s="76" t="s">
        <v>392</v>
      </c>
      <c r="F146" s="76"/>
      <c r="G146" s="23">
        <f>G147</f>
        <v>89028</v>
      </c>
      <c r="H146" s="23">
        <f aca="true" t="shared" si="35" ref="H146:U146">H147</f>
        <v>0</v>
      </c>
      <c r="I146" s="23">
        <f t="shared" si="35"/>
        <v>0</v>
      </c>
      <c r="J146" s="23">
        <f t="shared" si="35"/>
        <v>0</v>
      </c>
      <c r="K146" s="23">
        <f t="shared" si="35"/>
        <v>0</v>
      </c>
      <c r="L146" s="23">
        <f t="shared" si="35"/>
        <v>0</v>
      </c>
      <c r="M146" s="23">
        <f t="shared" si="35"/>
        <v>0</v>
      </c>
      <c r="N146" s="23">
        <f t="shared" si="35"/>
        <v>0</v>
      </c>
      <c r="O146" s="23">
        <f t="shared" si="35"/>
        <v>0</v>
      </c>
      <c r="P146" s="23">
        <f t="shared" si="35"/>
        <v>0</v>
      </c>
      <c r="Q146" s="23">
        <f t="shared" si="35"/>
        <v>975.1</v>
      </c>
      <c r="R146" s="23">
        <f t="shared" si="35"/>
        <v>0</v>
      </c>
      <c r="S146" s="23">
        <f t="shared" si="35"/>
        <v>0</v>
      </c>
      <c r="T146" s="23">
        <f t="shared" si="35"/>
        <v>0</v>
      </c>
      <c r="U146" s="23">
        <f t="shared" si="35"/>
        <v>204.8</v>
      </c>
      <c r="V146" s="23"/>
      <c r="W146" s="80">
        <f>W147</f>
        <v>90207.90000000001</v>
      </c>
    </row>
    <row r="147" spans="1:23" ht="25.5">
      <c r="A147" s="75" t="s">
        <v>298</v>
      </c>
      <c r="B147" s="76" t="s">
        <v>62</v>
      </c>
      <c r="C147" s="76" t="s">
        <v>286</v>
      </c>
      <c r="D147" s="76" t="s">
        <v>102</v>
      </c>
      <c r="E147" s="76" t="s">
        <v>392</v>
      </c>
      <c r="F147" s="76" t="s">
        <v>299</v>
      </c>
      <c r="G147" s="23">
        <f>89028000/1000</f>
        <v>89028</v>
      </c>
      <c r="H147" s="77"/>
      <c r="I147" s="77"/>
      <c r="J147" s="77"/>
      <c r="K147" s="77"/>
      <c r="L147" s="77"/>
      <c r="M147" s="77"/>
      <c r="N147" s="77"/>
      <c r="O147" s="77"/>
      <c r="P147" s="77"/>
      <c r="Q147" s="77">
        <v>975.1</v>
      </c>
      <c r="R147" s="77"/>
      <c r="S147" s="77"/>
      <c r="T147" s="77"/>
      <c r="U147" s="77">
        <v>204.8</v>
      </c>
      <c r="V147" s="77"/>
      <c r="W147" s="78">
        <f>G147+H147+Q147+U147</f>
        <v>90207.90000000001</v>
      </c>
    </row>
    <row r="148" spans="1:23" ht="25.5">
      <c r="A148" s="75" t="s">
        <v>393</v>
      </c>
      <c r="B148" s="76" t="s">
        <v>62</v>
      </c>
      <c r="C148" s="76" t="s">
        <v>286</v>
      </c>
      <c r="D148" s="76" t="s">
        <v>102</v>
      </c>
      <c r="E148" s="76" t="s">
        <v>394</v>
      </c>
      <c r="F148" s="76"/>
      <c r="G148" s="23"/>
      <c r="H148" s="77"/>
      <c r="I148" s="77"/>
      <c r="J148" s="77"/>
      <c r="K148" s="77"/>
      <c r="L148" s="77"/>
      <c r="M148" s="77">
        <f>M149</f>
        <v>0</v>
      </c>
      <c r="N148" s="77"/>
      <c r="O148" s="77"/>
      <c r="P148" s="77">
        <f>P149</f>
        <v>2174</v>
      </c>
      <c r="Q148" s="77"/>
      <c r="R148" s="77"/>
      <c r="S148" s="77"/>
      <c r="T148" s="77"/>
      <c r="U148" s="77"/>
      <c r="V148" s="77"/>
      <c r="W148" s="78">
        <f>W149</f>
        <v>2174</v>
      </c>
    </row>
    <row r="149" spans="1:25" ht="25.5">
      <c r="A149" s="75" t="s">
        <v>266</v>
      </c>
      <c r="B149" s="76" t="s">
        <v>62</v>
      </c>
      <c r="C149" s="76" t="s">
        <v>286</v>
      </c>
      <c r="D149" s="76" t="s">
        <v>102</v>
      </c>
      <c r="E149" s="76" t="s">
        <v>394</v>
      </c>
      <c r="F149" s="76" t="s">
        <v>299</v>
      </c>
      <c r="G149" s="23"/>
      <c r="H149" s="77"/>
      <c r="I149" s="77"/>
      <c r="J149" s="77"/>
      <c r="K149" s="77"/>
      <c r="L149" s="77"/>
      <c r="M149" s="77"/>
      <c r="N149" s="77"/>
      <c r="O149" s="77"/>
      <c r="P149" s="77">
        <v>2174</v>
      </c>
      <c r="Q149" s="77"/>
      <c r="R149" s="77"/>
      <c r="S149" s="77"/>
      <c r="T149" s="77"/>
      <c r="U149" s="77"/>
      <c r="V149" s="77"/>
      <c r="W149" s="78">
        <f>P149</f>
        <v>2174</v>
      </c>
      <c r="Y149" s="129"/>
    </row>
    <row r="150" spans="1:23" ht="25.5">
      <c r="A150" s="37" t="s">
        <v>361</v>
      </c>
      <c r="B150" s="76" t="s">
        <v>62</v>
      </c>
      <c r="C150" s="76" t="s">
        <v>286</v>
      </c>
      <c r="D150" s="76" t="s">
        <v>102</v>
      </c>
      <c r="E150" s="76" t="s">
        <v>362</v>
      </c>
      <c r="F150" s="76"/>
      <c r="G150" s="23"/>
      <c r="H150" s="77"/>
      <c r="I150" s="77"/>
      <c r="J150" s="77"/>
      <c r="K150" s="77"/>
      <c r="L150" s="77"/>
      <c r="M150" s="77"/>
      <c r="N150" s="77"/>
      <c r="O150" s="77">
        <f>O151</f>
        <v>1683.819</v>
      </c>
      <c r="P150" s="77"/>
      <c r="Q150" s="77"/>
      <c r="R150" s="77"/>
      <c r="S150" s="77"/>
      <c r="T150" s="77"/>
      <c r="U150" s="77"/>
      <c r="V150" s="77"/>
      <c r="W150" s="78">
        <f>W151</f>
        <v>1683.819</v>
      </c>
    </row>
    <row r="151" spans="1:23" ht="25.5">
      <c r="A151" s="97" t="s">
        <v>298</v>
      </c>
      <c r="B151" s="76" t="s">
        <v>62</v>
      </c>
      <c r="C151" s="76" t="s">
        <v>286</v>
      </c>
      <c r="D151" s="76" t="s">
        <v>102</v>
      </c>
      <c r="E151" s="76" t="s">
        <v>362</v>
      </c>
      <c r="F151" s="76" t="s">
        <v>299</v>
      </c>
      <c r="G151" s="23"/>
      <c r="H151" s="77"/>
      <c r="I151" s="77"/>
      <c r="J151" s="77"/>
      <c r="K151" s="77"/>
      <c r="L151" s="77"/>
      <c r="M151" s="77"/>
      <c r="N151" s="77"/>
      <c r="O151" s="77">
        <v>1683.819</v>
      </c>
      <c r="P151" s="77"/>
      <c r="Q151" s="77"/>
      <c r="R151" s="77"/>
      <c r="S151" s="77"/>
      <c r="T151" s="77"/>
      <c r="U151" s="77"/>
      <c r="V151" s="77"/>
      <c r="W151" s="78">
        <f>O151</f>
        <v>1683.819</v>
      </c>
    </row>
    <row r="152" spans="1:23" ht="63.75">
      <c r="A152" s="86" t="s">
        <v>395</v>
      </c>
      <c r="B152" s="76" t="s">
        <v>62</v>
      </c>
      <c r="C152" s="76" t="s">
        <v>286</v>
      </c>
      <c r="D152" s="76" t="s">
        <v>102</v>
      </c>
      <c r="E152" s="76" t="s">
        <v>364</v>
      </c>
      <c r="F152" s="76"/>
      <c r="G152" s="23"/>
      <c r="H152" s="77"/>
      <c r="I152" s="77"/>
      <c r="J152" s="77"/>
      <c r="K152" s="77"/>
      <c r="L152" s="77"/>
      <c r="M152" s="77">
        <f>M153</f>
        <v>0</v>
      </c>
      <c r="N152" s="77"/>
      <c r="O152" s="77"/>
      <c r="P152" s="77">
        <f>P153</f>
        <v>9198.5</v>
      </c>
      <c r="Q152" s="77"/>
      <c r="R152" s="77"/>
      <c r="S152" s="77"/>
      <c r="T152" s="77"/>
      <c r="U152" s="77"/>
      <c r="V152" s="77"/>
      <c r="W152" s="78">
        <f>W153</f>
        <v>9198.5</v>
      </c>
    </row>
    <row r="153" spans="1:23" ht="25.5">
      <c r="A153" s="97" t="s">
        <v>298</v>
      </c>
      <c r="B153" s="76" t="s">
        <v>62</v>
      </c>
      <c r="C153" s="76" t="s">
        <v>286</v>
      </c>
      <c r="D153" s="76" t="s">
        <v>102</v>
      </c>
      <c r="E153" s="76" t="s">
        <v>364</v>
      </c>
      <c r="F153" s="76" t="s">
        <v>299</v>
      </c>
      <c r="G153" s="23"/>
      <c r="H153" s="77"/>
      <c r="I153" s="77"/>
      <c r="J153" s="77"/>
      <c r="K153" s="77"/>
      <c r="L153" s="77"/>
      <c r="M153" s="77"/>
      <c r="N153" s="77"/>
      <c r="O153" s="77"/>
      <c r="P153" s="77">
        <v>9198.5</v>
      </c>
      <c r="Q153" s="77"/>
      <c r="R153" s="77"/>
      <c r="S153" s="77"/>
      <c r="T153" s="77"/>
      <c r="U153" s="77"/>
      <c r="V153" s="77"/>
      <c r="W153" s="78">
        <f>P153</f>
        <v>9198.5</v>
      </c>
    </row>
    <row r="154" spans="1:23" ht="12.75">
      <c r="A154" s="73" t="s">
        <v>396</v>
      </c>
      <c r="B154" s="74"/>
      <c r="C154" s="74" t="s">
        <v>286</v>
      </c>
      <c r="D154" s="74" t="s">
        <v>286</v>
      </c>
      <c r="E154" s="74"/>
      <c r="F154" s="74"/>
      <c r="G154" s="20">
        <f aca="true" t="shared" si="36" ref="G154:V154">G155+G160+G167+G165+G158+G163+G169</f>
        <v>3367.2</v>
      </c>
      <c r="H154" s="20">
        <f t="shared" si="36"/>
        <v>2000</v>
      </c>
      <c r="I154" s="20">
        <f t="shared" si="36"/>
        <v>0</v>
      </c>
      <c r="J154" s="20">
        <f t="shared" si="36"/>
        <v>0</v>
      </c>
      <c r="K154" s="20">
        <f t="shared" si="36"/>
        <v>6801.69</v>
      </c>
      <c r="L154" s="20">
        <f t="shared" si="36"/>
        <v>0</v>
      </c>
      <c r="M154" s="130">
        <f t="shared" si="36"/>
        <v>47.2</v>
      </c>
      <c r="N154" s="20">
        <f t="shared" si="36"/>
        <v>144.40000000000003</v>
      </c>
      <c r="O154" s="20">
        <f t="shared" si="36"/>
        <v>0</v>
      </c>
      <c r="P154" s="20">
        <f t="shared" si="36"/>
        <v>0</v>
      </c>
      <c r="Q154" s="20">
        <f t="shared" si="36"/>
        <v>0</v>
      </c>
      <c r="R154" s="20">
        <f t="shared" si="36"/>
        <v>0</v>
      </c>
      <c r="S154" s="20">
        <f t="shared" si="36"/>
        <v>390</v>
      </c>
      <c r="T154" s="20">
        <f t="shared" si="36"/>
        <v>181.1</v>
      </c>
      <c r="U154" s="20">
        <f t="shared" si="36"/>
        <v>0</v>
      </c>
      <c r="V154" s="20">
        <f t="shared" si="36"/>
        <v>110</v>
      </c>
      <c r="W154" s="46">
        <f>W155+W160+W167+W165+W158+W163+W169</f>
        <v>13041.59</v>
      </c>
    </row>
    <row r="155" spans="1:25" ht="25.5">
      <c r="A155" s="75" t="s">
        <v>397</v>
      </c>
      <c r="B155" s="76" t="s">
        <v>62</v>
      </c>
      <c r="C155" s="76" t="s">
        <v>286</v>
      </c>
      <c r="D155" s="76" t="s">
        <v>286</v>
      </c>
      <c r="E155" s="76" t="s">
        <v>398</v>
      </c>
      <c r="F155" s="76"/>
      <c r="G155" s="23">
        <f aca="true" t="shared" si="37" ref="G155:L156">G156</f>
        <v>800</v>
      </c>
      <c r="H155" s="23">
        <f t="shared" si="37"/>
        <v>0</v>
      </c>
      <c r="I155" s="23">
        <f t="shared" si="37"/>
        <v>0</v>
      </c>
      <c r="J155" s="23">
        <f t="shared" si="37"/>
        <v>0</v>
      </c>
      <c r="K155" s="23">
        <f t="shared" si="37"/>
        <v>0</v>
      </c>
      <c r="L155" s="23">
        <f t="shared" si="37"/>
        <v>-600</v>
      </c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80">
        <f>W156</f>
        <v>200</v>
      </c>
      <c r="Y155" s="129"/>
    </row>
    <row r="156" spans="1:23" ht="25.5">
      <c r="A156" s="75" t="s">
        <v>399</v>
      </c>
      <c r="B156" s="76" t="s">
        <v>62</v>
      </c>
      <c r="C156" s="76" t="s">
        <v>286</v>
      </c>
      <c r="D156" s="76" t="s">
        <v>286</v>
      </c>
      <c r="E156" s="76" t="s">
        <v>400</v>
      </c>
      <c r="F156" s="76"/>
      <c r="G156" s="23">
        <f t="shared" si="37"/>
        <v>800</v>
      </c>
      <c r="H156" s="23">
        <f t="shared" si="37"/>
        <v>0</v>
      </c>
      <c r="I156" s="23">
        <f t="shared" si="37"/>
        <v>0</v>
      </c>
      <c r="J156" s="23">
        <f t="shared" si="37"/>
        <v>0</v>
      </c>
      <c r="K156" s="23">
        <f t="shared" si="37"/>
        <v>0</v>
      </c>
      <c r="L156" s="23">
        <f t="shared" si="37"/>
        <v>-600</v>
      </c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80">
        <f>W157</f>
        <v>200</v>
      </c>
    </row>
    <row r="157" spans="1:23" ht="25.5">
      <c r="A157" s="75" t="s">
        <v>298</v>
      </c>
      <c r="B157" s="76" t="s">
        <v>62</v>
      </c>
      <c r="C157" s="76" t="s">
        <v>286</v>
      </c>
      <c r="D157" s="76" t="s">
        <v>286</v>
      </c>
      <c r="E157" s="76" t="s">
        <v>400</v>
      </c>
      <c r="F157" s="76" t="s">
        <v>273</v>
      </c>
      <c r="G157" s="23">
        <f>800000/1000</f>
        <v>800</v>
      </c>
      <c r="H157" s="77"/>
      <c r="I157" s="77"/>
      <c r="J157" s="77"/>
      <c r="K157" s="77"/>
      <c r="L157" s="77">
        <v>-600</v>
      </c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8">
        <f>G157+H157+L157</f>
        <v>200</v>
      </c>
    </row>
    <row r="158" spans="1:23" ht="12.75">
      <c r="A158" s="86" t="s">
        <v>401</v>
      </c>
      <c r="B158" s="76" t="s">
        <v>62</v>
      </c>
      <c r="C158" s="76" t="s">
        <v>286</v>
      </c>
      <c r="D158" s="76" t="s">
        <v>286</v>
      </c>
      <c r="E158" s="76" t="s">
        <v>402</v>
      </c>
      <c r="F158" s="76"/>
      <c r="G158" s="23"/>
      <c r="H158" s="77">
        <f>H159</f>
        <v>1000</v>
      </c>
      <c r="I158" s="77"/>
      <c r="J158" s="77"/>
      <c r="K158" s="77">
        <f>K159</f>
        <v>5913.69</v>
      </c>
      <c r="L158" s="77"/>
      <c r="M158" s="77"/>
      <c r="N158" s="77"/>
      <c r="O158" s="77"/>
      <c r="P158" s="77">
        <f>P159</f>
        <v>-250</v>
      </c>
      <c r="Q158" s="77"/>
      <c r="R158" s="77"/>
      <c r="S158" s="77"/>
      <c r="T158" s="77"/>
      <c r="U158" s="77"/>
      <c r="V158" s="77"/>
      <c r="W158" s="78">
        <f>W159</f>
        <v>6663.69</v>
      </c>
    </row>
    <row r="159" spans="1:23" ht="25.5">
      <c r="A159" s="104" t="s">
        <v>403</v>
      </c>
      <c r="B159" s="76" t="s">
        <v>62</v>
      </c>
      <c r="C159" s="76" t="s">
        <v>286</v>
      </c>
      <c r="D159" s="76" t="s">
        <v>286</v>
      </c>
      <c r="E159" s="76" t="s">
        <v>402</v>
      </c>
      <c r="F159" s="76" t="s">
        <v>404</v>
      </c>
      <c r="G159" s="23"/>
      <c r="H159" s="77">
        <f>1000000/1000</f>
        <v>1000</v>
      </c>
      <c r="I159" s="77"/>
      <c r="J159" s="77"/>
      <c r="K159" s="77">
        <v>5913.69</v>
      </c>
      <c r="L159" s="77"/>
      <c r="M159" s="77"/>
      <c r="N159" s="77"/>
      <c r="O159" s="77"/>
      <c r="P159" s="77">
        <v>-250</v>
      </c>
      <c r="Q159" s="77"/>
      <c r="R159" s="77"/>
      <c r="S159" s="77"/>
      <c r="T159" s="77"/>
      <c r="U159" s="77"/>
      <c r="V159" s="77"/>
      <c r="W159" s="78">
        <f>H159+K159+P159</f>
        <v>6663.69</v>
      </c>
    </row>
    <row r="160" spans="1:23" ht="25.5">
      <c r="A160" s="75" t="s">
        <v>405</v>
      </c>
      <c r="B160" s="76" t="s">
        <v>62</v>
      </c>
      <c r="C160" s="76" t="s">
        <v>286</v>
      </c>
      <c r="D160" s="76" t="s">
        <v>286</v>
      </c>
      <c r="E160" s="76" t="s">
        <v>406</v>
      </c>
      <c r="F160" s="76"/>
      <c r="G160" s="23">
        <f>G161</f>
        <v>1967.2</v>
      </c>
      <c r="H160" s="23">
        <f>H161</f>
        <v>1000</v>
      </c>
      <c r="I160" s="23"/>
      <c r="J160" s="23"/>
      <c r="K160" s="23"/>
      <c r="L160" s="23"/>
      <c r="M160" s="23"/>
      <c r="N160" s="23">
        <f>N161</f>
        <v>27.600000000000023</v>
      </c>
      <c r="O160" s="23"/>
      <c r="P160" s="23">
        <f>P161</f>
        <v>250</v>
      </c>
      <c r="Q160" s="23"/>
      <c r="R160" s="23"/>
      <c r="S160" s="23"/>
      <c r="T160" s="23">
        <f>T161</f>
        <v>31.1</v>
      </c>
      <c r="U160" s="23"/>
      <c r="V160" s="23"/>
      <c r="W160" s="80">
        <f>W161</f>
        <v>3275.8999999999996</v>
      </c>
    </row>
    <row r="161" spans="1:23" ht="12.75">
      <c r="A161" s="75" t="s">
        <v>407</v>
      </c>
      <c r="B161" s="76" t="s">
        <v>62</v>
      </c>
      <c r="C161" s="76" t="s">
        <v>286</v>
      </c>
      <c r="D161" s="76" t="s">
        <v>286</v>
      </c>
      <c r="E161" s="76" t="s">
        <v>406</v>
      </c>
      <c r="F161" s="76"/>
      <c r="G161" s="23">
        <f>G162</f>
        <v>1967.2</v>
      </c>
      <c r="H161" s="23">
        <f>H162</f>
        <v>1000</v>
      </c>
      <c r="I161" s="23"/>
      <c r="J161" s="23"/>
      <c r="K161" s="23"/>
      <c r="L161" s="23"/>
      <c r="M161" s="23"/>
      <c r="N161" s="23">
        <f>N162</f>
        <v>27.600000000000023</v>
      </c>
      <c r="O161" s="23"/>
      <c r="P161" s="23">
        <f>P162</f>
        <v>250</v>
      </c>
      <c r="Q161" s="23"/>
      <c r="R161" s="23"/>
      <c r="S161" s="23"/>
      <c r="T161" s="23">
        <v>31.1</v>
      </c>
      <c r="U161" s="23"/>
      <c r="V161" s="23"/>
      <c r="W161" s="80">
        <f>W162</f>
        <v>3275.8999999999996</v>
      </c>
    </row>
    <row r="162" spans="1:23" ht="25.5">
      <c r="A162" s="75" t="s">
        <v>298</v>
      </c>
      <c r="B162" s="76" t="s">
        <v>62</v>
      </c>
      <c r="C162" s="76" t="s">
        <v>286</v>
      </c>
      <c r="D162" s="76" t="s">
        <v>286</v>
      </c>
      <c r="E162" s="76" t="s">
        <v>406</v>
      </c>
      <c r="F162" s="76" t="s">
        <v>299</v>
      </c>
      <c r="G162" s="23">
        <f>1967200/1000</f>
        <v>1967.2</v>
      </c>
      <c r="H162" s="77">
        <f>1000000/1000</f>
        <v>1000</v>
      </c>
      <c r="I162" s="77"/>
      <c r="J162" s="77"/>
      <c r="K162" s="77"/>
      <c r="L162" s="77"/>
      <c r="M162" s="77"/>
      <c r="N162" s="77">
        <f>277.6-250</f>
        <v>27.600000000000023</v>
      </c>
      <c r="O162" s="77"/>
      <c r="P162" s="77">
        <v>250</v>
      </c>
      <c r="Q162" s="77"/>
      <c r="R162" s="77"/>
      <c r="S162" s="77"/>
      <c r="T162" s="77">
        <v>31.1</v>
      </c>
      <c r="U162" s="77"/>
      <c r="V162" s="77"/>
      <c r="W162" s="78">
        <f>G162+H162+N162+P162+T162</f>
        <v>3275.8999999999996</v>
      </c>
    </row>
    <row r="163" spans="1:23" ht="25.5">
      <c r="A163" s="98" t="s">
        <v>408</v>
      </c>
      <c r="B163" s="76" t="s">
        <v>62</v>
      </c>
      <c r="C163" s="76" t="s">
        <v>286</v>
      </c>
      <c r="D163" s="76" t="s">
        <v>286</v>
      </c>
      <c r="E163" s="76" t="s">
        <v>409</v>
      </c>
      <c r="F163" s="76"/>
      <c r="G163" s="105"/>
      <c r="H163" s="77"/>
      <c r="I163" s="77"/>
      <c r="J163" s="77"/>
      <c r="K163" s="77">
        <f>K164</f>
        <v>738</v>
      </c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8">
        <f>W164</f>
        <v>738</v>
      </c>
    </row>
    <row r="164" spans="1:23" ht="25.5">
      <c r="A164" s="104" t="s">
        <v>403</v>
      </c>
      <c r="B164" s="76" t="s">
        <v>62</v>
      </c>
      <c r="C164" s="76" t="s">
        <v>286</v>
      </c>
      <c r="D164" s="76" t="s">
        <v>286</v>
      </c>
      <c r="E164" s="76" t="s">
        <v>409</v>
      </c>
      <c r="F164" s="76" t="s">
        <v>404</v>
      </c>
      <c r="G164" s="23"/>
      <c r="H164" s="77"/>
      <c r="I164" s="77"/>
      <c r="J164" s="77"/>
      <c r="K164" s="77">
        <v>738</v>
      </c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8">
        <f>K164</f>
        <v>738</v>
      </c>
    </row>
    <row r="165" spans="1:23" ht="25.5">
      <c r="A165" s="106" t="s">
        <v>410</v>
      </c>
      <c r="B165" s="76" t="s">
        <v>62</v>
      </c>
      <c r="C165" s="76" t="s">
        <v>286</v>
      </c>
      <c r="D165" s="76" t="s">
        <v>286</v>
      </c>
      <c r="E165" s="76" t="s">
        <v>411</v>
      </c>
      <c r="F165" s="76"/>
      <c r="G165" s="105"/>
      <c r="H165" s="77"/>
      <c r="I165" s="77"/>
      <c r="J165" s="77"/>
      <c r="K165" s="77">
        <f>K166</f>
        <v>150</v>
      </c>
      <c r="L165" s="77"/>
      <c r="M165" s="77"/>
      <c r="N165" s="77"/>
      <c r="O165" s="77"/>
      <c r="P165" s="77"/>
      <c r="Q165" s="77"/>
      <c r="R165" s="77"/>
      <c r="S165" s="77"/>
      <c r="T165" s="77">
        <f>T166</f>
        <v>150</v>
      </c>
      <c r="U165" s="77"/>
      <c r="V165" s="77">
        <v>110</v>
      </c>
      <c r="W165" s="78">
        <f>W166</f>
        <v>410</v>
      </c>
    </row>
    <row r="166" spans="1:23" ht="25.5">
      <c r="A166" s="75" t="s">
        <v>412</v>
      </c>
      <c r="B166" s="76" t="s">
        <v>62</v>
      </c>
      <c r="C166" s="76" t="s">
        <v>286</v>
      </c>
      <c r="D166" s="76" t="s">
        <v>286</v>
      </c>
      <c r="E166" s="76" t="s">
        <v>411</v>
      </c>
      <c r="F166" s="76" t="s">
        <v>404</v>
      </c>
      <c r="G166" s="23"/>
      <c r="H166" s="77"/>
      <c r="I166" s="77"/>
      <c r="J166" s="77"/>
      <c r="K166" s="77">
        <v>150</v>
      </c>
      <c r="L166" s="77"/>
      <c r="M166" s="77"/>
      <c r="N166" s="77"/>
      <c r="O166" s="77"/>
      <c r="P166" s="77"/>
      <c r="Q166" s="77"/>
      <c r="R166" s="77"/>
      <c r="S166" s="77"/>
      <c r="T166" s="77">
        <v>150</v>
      </c>
      <c r="U166" s="77"/>
      <c r="V166" s="77">
        <v>110</v>
      </c>
      <c r="W166" s="78">
        <f>150+T166+V166</f>
        <v>410</v>
      </c>
    </row>
    <row r="167" spans="1:23" ht="25.5">
      <c r="A167" s="75" t="s">
        <v>311</v>
      </c>
      <c r="B167" s="76" t="s">
        <v>62</v>
      </c>
      <c r="C167" s="76" t="s">
        <v>286</v>
      </c>
      <c r="D167" s="76" t="s">
        <v>286</v>
      </c>
      <c r="E167" s="76" t="s">
        <v>413</v>
      </c>
      <c r="F167" s="76"/>
      <c r="G167" s="23">
        <f>G168</f>
        <v>600</v>
      </c>
      <c r="H167" s="23">
        <f>H168</f>
        <v>0</v>
      </c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>
        <f>S168</f>
        <v>200</v>
      </c>
      <c r="T167" s="23"/>
      <c r="U167" s="23"/>
      <c r="V167" s="23"/>
      <c r="W167" s="80">
        <f>W168</f>
        <v>800</v>
      </c>
    </row>
    <row r="168" spans="1:23" ht="25.5">
      <c r="A168" s="75" t="s">
        <v>412</v>
      </c>
      <c r="B168" s="76" t="s">
        <v>62</v>
      </c>
      <c r="C168" s="76" t="s">
        <v>286</v>
      </c>
      <c r="D168" s="76" t="s">
        <v>286</v>
      </c>
      <c r="E168" s="76" t="s">
        <v>413</v>
      </c>
      <c r="F168" s="76" t="s">
        <v>404</v>
      </c>
      <c r="G168" s="23">
        <f>600000/1000</f>
        <v>600</v>
      </c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>
        <v>200</v>
      </c>
      <c r="T168" s="77"/>
      <c r="U168" s="77"/>
      <c r="V168" s="77"/>
      <c r="W168" s="78">
        <f>G168+H168+S168</f>
        <v>800</v>
      </c>
    </row>
    <row r="169" spans="1:23" ht="25.5">
      <c r="A169" s="91" t="s">
        <v>311</v>
      </c>
      <c r="B169" s="76" t="s">
        <v>62</v>
      </c>
      <c r="C169" s="76" t="s">
        <v>286</v>
      </c>
      <c r="D169" s="76" t="s">
        <v>286</v>
      </c>
      <c r="E169" s="76" t="s">
        <v>413</v>
      </c>
      <c r="F169" s="76"/>
      <c r="G169" s="23"/>
      <c r="H169" s="77"/>
      <c r="I169" s="77"/>
      <c r="J169" s="77"/>
      <c r="K169" s="77"/>
      <c r="L169" s="77">
        <f>L170</f>
        <v>600</v>
      </c>
      <c r="M169" s="77">
        <f>M170</f>
        <v>47.2</v>
      </c>
      <c r="N169" s="77">
        <f>N170</f>
        <v>116.8</v>
      </c>
      <c r="O169" s="77"/>
      <c r="P169" s="77"/>
      <c r="Q169" s="77"/>
      <c r="R169" s="77"/>
      <c r="S169" s="77">
        <f>S170</f>
        <v>190</v>
      </c>
      <c r="T169" s="77">
        <f>T170</f>
        <v>0</v>
      </c>
      <c r="U169" s="77">
        <f>U170</f>
        <v>0</v>
      </c>
      <c r="V169" s="77">
        <f>V170</f>
        <v>0</v>
      </c>
      <c r="W169" s="78">
        <f>W170</f>
        <v>954</v>
      </c>
    </row>
    <row r="170" spans="1:23" ht="25.5">
      <c r="A170" s="75" t="s">
        <v>266</v>
      </c>
      <c r="B170" s="76" t="s">
        <v>62</v>
      </c>
      <c r="C170" s="76" t="s">
        <v>286</v>
      </c>
      <c r="D170" s="76" t="s">
        <v>286</v>
      </c>
      <c r="E170" s="76" t="s">
        <v>413</v>
      </c>
      <c r="F170" s="76" t="s">
        <v>273</v>
      </c>
      <c r="G170" s="23"/>
      <c r="H170" s="77"/>
      <c r="I170" s="77"/>
      <c r="J170" s="77"/>
      <c r="K170" s="77"/>
      <c r="L170" s="77">
        <v>600</v>
      </c>
      <c r="M170" s="77">
        <v>47.2</v>
      </c>
      <c r="N170" s="77">
        <v>116.8</v>
      </c>
      <c r="O170" s="77"/>
      <c r="P170" s="77"/>
      <c r="Q170" s="77"/>
      <c r="R170" s="77"/>
      <c r="S170" s="77">
        <v>190</v>
      </c>
      <c r="T170" s="77"/>
      <c r="U170" s="77"/>
      <c r="V170" s="77"/>
      <c r="W170" s="78">
        <f>L170+M170+N170+S170+V170</f>
        <v>954</v>
      </c>
    </row>
    <row r="171" spans="1:25" ht="12.75">
      <c r="A171" s="73" t="s">
        <v>414</v>
      </c>
      <c r="B171" s="74"/>
      <c r="C171" s="74" t="s">
        <v>286</v>
      </c>
      <c r="D171" s="74" t="s">
        <v>50</v>
      </c>
      <c r="E171" s="74"/>
      <c r="F171" s="74"/>
      <c r="G171" s="20">
        <f aca="true" t="shared" si="38" ref="G171:V171">G172+G175</f>
        <v>43407.6</v>
      </c>
      <c r="H171" s="20">
        <f t="shared" si="38"/>
        <v>3508.3</v>
      </c>
      <c r="I171" s="20">
        <f t="shared" si="38"/>
        <v>0</v>
      </c>
      <c r="J171" s="20">
        <f t="shared" si="38"/>
        <v>105</v>
      </c>
      <c r="K171" s="20">
        <f t="shared" si="38"/>
        <v>1809.101</v>
      </c>
      <c r="L171" s="20">
        <f t="shared" si="38"/>
        <v>0</v>
      </c>
      <c r="M171" s="130">
        <f t="shared" si="38"/>
        <v>553.6</v>
      </c>
      <c r="N171" s="20">
        <f t="shared" si="38"/>
        <v>1165</v>
      </c>
      <c r="O171" s="20">
        <f t="shared" si="38"/>
        <v>0</v>
      </c>
      <c r="P171" s="20">
        <f t="shared" si="38"/>
        <v>243.43</v>
      </c>
      <c r="Q171" s="20">
        <f t="shared" si="38"/>
        <v>965.1</v>
      </c>
      <c r="R171" s="20">
        <f t="shared" si="38"/>
        <v>-400</v>
      </c>
      <c r="S171" s="20">
        <f t="shared" si="38"/>
        <v>14.064</v>
      </c>
      <c r="T171" s="20">
        <f t="shared" si="38"/>
        <v>598.6</v>
      </c>
      <c r="U171" s="20">
        <f t="shared" si="38"/>
        <v>0</v>
      </c>
      <c r="V171" s="20">
        <f t="shared" si="38"/>
        <v>555.0000000000001</v>
      </c>
      <c r="W171" s="46">
        <f>W172+W175</f>
        <v>52524.795</v>
      </c>
      <c r="Y171" s="129"/>
    </row>
    <row r="172" spans="1:23" ht="25.5">
      <c r="A172" s="75" t="s">
        <v>415</v>
      </c>
      <c r="B172" s="76" t="s">
        <v>62</v>
      </c>
      <c r="C172" s="76" t="s">
        <v>286</v>
      </c>
      <c r="D172" s="76" t="s">
        <v>50</v>
      </c>
      <c r="E172" s="76" t="s">
        <v>416</v>
      </c>
      <c r="F172" s="76"/>
      <c r="G172" s="23">
        <f aca="true" t="shared" si="39" ref="G172:L173">G173</f>
        <v>14775.3</v>
      </c>
      <c r="H172" s="23">
        <f t="shared" si="39"/>
        <v>1278.3</v>
      </c>
      <c r="I172" s="23">
        <f t="shared" si="39"/>
        <v>0</v>
      </c>
      <c r="J172" s="23">
        <f t="shared" si="39"/>
        <v>0</v>
      </c>
      <c r="K172" s="23">
        <f t="shared" si="39"/>
        <v>1251.101</v>
      </c>
      <c r="L172" s="23">
        <f t="shared" si="39"/>
        <v>0</v>
      </c>
      <c r="M172" s="23">
        <f>M174</f>
        <v>0</v>
      </c>
      <c r="N172" s="23">
        <f>N173</f>
        <v>50</v>
      </c>
      <c r="O172" s="23"/>
      <c r="P172" s="23"/>
      <c r="Q172" s="23">
        <f>Q173</f>
        <v>0</v>
      </c>
      <c r="R172" s="23"/>
      <c r="S172" s="23"/>
      <c r="T172" s="23">
        <f>T173</f>
        <v>201.6</v>
      </c>
      <c r="U172" s="23"/>
      <c r="V172" s="23"/>
      <c r="W172" s="80">
        <f>W173</f>
        <v>17556.300999999996</v>
      </c>
    </row>
    <row r="173" spans="1:23" ht="25.5">
      <c r="A173" s="75" t="s">
        <v>296</v>
      </c>
      <c r="B173" s="76" t="s">
        <v>62</v>
      </c>
      <c r="C173" s="76" t="s">
        <v>286</v>
      </c>
      <c r="D173" s="76" t="s">
        <v>50</v>
      </c>
      <c r="E173" s="76" t="s">
        <v>417</v>
      </c>
      <c r="F173" s="76"/>
      <c r="G173" s="23">
        <f t="shared" si="39"/>
        <v>14775.3</v>
      </c>
      <c r="H173" s="23">
        <f t="shared" si="39"/>
        <v>1278.3</v>
      </c>
      <c r="I173" s="23">
        <f t="shared" si="39"/>
        <v>0</v>
      </c>
      <c r="J173" s="23">
        <f t="shared" si="39"/>
        <v>0</v>
      </c>
      <c r="K173" s="23">
        <f t="shared" si="39"/>
        <v>1251.101</v>
      </c>
      <c r="L173" s="23">
        <f t="shared" si="39"/>
        <v>0</v>
      </c>
      <c r="M173" s="23">
        <f>M174</f>
        <v>0</v>
      </c>
      <c r="N173" s="23">
        <f>N174</f>
        <v>50</v>
      </c>
      <c r="O173" s="23"/>
      <c r="P173" s="23"/>
      <c r="Q173" s="23">
        <f>Q174</f>
        <v>0</v>
      </c>
      <c r="R173" s="23"/>
      <c r="S173" s="23"/>
      <c r="T173" s="23">
        <f>T174</f>
        <v>201.6</v>
      </c>
      <c r="U173" s="23"/>
      <c r="V173" s="23"/>
      <c r="W173" s="80">
        <f>W174</f>
        <v>17556.300999999996</v>
      </c>
    </row>
    <row r="174" spans="1:23" ht="25.5">
      <c r="A174" s="75" t="s">
        <v>298</v>
      </c>
      <c r="B174" s="76" t="s">
        <v>62</v>
      </c>
      <c r="C174" s="76" t="s">
        <v>286</v>
      </c>
      <c r="D174" s="76" t="s">
        <v>50</v>
      </c>
      <c r="E174" s="76" t="s">
        <v>417</v>
      </c>
      <c r="F174" s="76" t="s">
        <v>299</v>
      </c>
      <c r="G174" s="23">
        <f>14775300/1000</f>
        <v>14775.3</v>
      </c>
      <c r="H174" s="77">
        <f>1278300/1000</f>
        <v>1278.3</v>
      </c>
      <c r="I174" s="77"/>
      <c r="J174" s="77"/>
      <c r="K174" s="77">
        <f>1.101+300+950</f>
        <v>1251.101</v>
      </c>
      <c r="L174" s="77"/>
      <c r="M174" s="77"/>
      <c r="N174" s="77">
        <f>50</f>
        <v>50</v>
      </c>
      <c r="O174" s="77"/>
      <c r="P174" s="77"/>
      <c r="Q174" s="77"/>
      <c r="R174" s="77"/>
      <c r="S174" s="77"/>
      <c r="T174" s="77">
        <v>201.6</v>
      </c>
      <c r="U174" s="77"/>
      <c r="V174" s="77"/>
      <c r="W174" s="78">
        <f>G174+H174+L174+K174+N174+M174+T174</f>
        <v>17556.300999999996</v>
      </c>
    </row>
    <row r="175" spans="1:23" ht="76.5">
      <c r="A175" s="75" t="s">
        <v>418</v>
      </c>
      <c r="B175" s="76" t="s">
        <v>62</v>
      </c>
      <c r="C175" s="76" t="s">
        <v>286</v>
      </c>
      <c r="D175" s="76" t="s">
        <v>50</v>
      </c>
      <c r="E175" s="76" t="s">
        <v>419</v>
      </c>
      <c r="F175" s="76"/>
      <c r="G175" s="23">
        <f aca="true" t="shared" si="40" ref="G175:K176">G176</f>
        <v>28632.3</v>
      </c>
      <c r="H175" s="23">
        <f t="shared" si="40"/>
        <v>2230</v>
      </c>
      <c r="I175" s="23">
        <f t="shared" si="40"/>
        <v>0</v>
      </c>
      <c r="J175" s="23">
        <f t="shared" si="40"/>
        <v>105</v>
      </c>
      <c r="K175" s="23">
        <f t="shared" si="40"/>
        <v>558</v>
      </c>
      <c r="L175" s="23"/>
      <c r="M175" s="23">
        <f>M176</f>
        <v>553.6</v>
      </c>
      <c r="N175" s="23">
        <f>N176</f>
        <v>1115</v>
      </c>
      <c r="O175" s="23"/>
      <c r="P175" s="23">
        <f aca="true" t="shared" si="41" ref="P175:W176">P176</f>
        <v>243.43</v>
      </c>
      <c r="Q175" s="23">
        <f t="shared" si="41"/>
        <v>965.1</v>
      </c>
      <c r="R175" s="23">
        <f t="shared" si="41"/>
        <v>-400</v>
      </c>
      <c r="S175" s="23">
        <f t="shared" si="41"/>
        <v>14.064</v>
      </c>
      <c r="T175" s="23">
        <f t="shared" si="41"/>
        <v>397</v>
      </c>
      <c r="U175" s="23">
        <f t="shared" si="41"/>
        <v>0</v>
      </c>
      <c r="V175" s="23">
        <f t="shared" si="41"/>
        <v>555.0000000000001</v>
      </c>
      <c r="W175" s="80">
        <f t="shared" si="41"/>
        <v>34968.494</v>
      </c>
    </row>
    <row r="176" spans="1:23" ht="25.5">
      <c r="A176" s="75" t="s">
        <v>296</v>
      </c>
      <c r="B176" s="76" t="s">
        <v>62</v>
      </c>
      <c r="C176" s="76" t="s">
        <v>286</v>
      </c>
      <c r="D176" s="76" t="s">
        <v>50</v>
      </c>
      <c r="E176" s="76" t="s">
        <v>420</v>
      </c>
      <c r="F176" s="76"/>
      <c r="G176" s="23">
        <f t="shared" si="40"/>
        <v>28632.3</v>
      </c>
      <c r="H176" s="23">
        <f t="shared" si="40"/>
        <v>2230</v>
      </c>
      <c r="I176" s="23">
        <f t="shared" si="40"/>
        <v>0</v>
      </c>
      <c r="J176" s="23">
        <f t="shared" si="40"/>
        <v>105</v>
      </c>
      <c r="K176" s="23">
        <f t="shared" si="40"/>
        <v>558</v>
      </c>
      <c r="L176" s="23"/>
      <c r="M176" s="23">
        <f>M177</f>
        <v>553.6</v>
      </c>
      <c r="N176" s="23">
        <f>N177</f>
        <v>1115</v>
      </c>
      <c r="O176" s="23"/>
      <c r="P176" s="23">
        <f t="shared" si="41"/>
        <v>243.43</v>
      </c>
      <c r="Q176" s="23">
        <f t="shared" si="41"/>
        <v>965.1</v>
      </c>
      <c r="R176" s="23">
        <f t="shared" si="41"/>
        <v>-400</v>
      </c>
      <c r="S176" s="23">
        <f t="shared" si="41"/>
        <v>14.064</v>
      </c>
      <c r="T176" s="23">
        <f t="shared" si="41"/>
        <v>397</v>
      </c>
      <c r="U176" s="23">
        <f t="shared" si="41"/>
        <v>0</v>
      </c>
      <c r="V176" s="23">
        <f t="shared" si="41"/>
        <v>555.0000000000001</v>
      </c>
      <c r="W176" s="80">
        <f t="shared" si="41"/>
        <v>34968.494</v>
      </c>
    </row>
    <row r="177" spans="1:23" ht="25.5">
      <c r="A177" s="75" t="s">
        <v>298</v>
      </c>
      <c r="B177" s="76" t="s">
        <v>62</v>
      </c>
      <c r="C177" s="76" t="s">
        <v>286</v>
      </c>
      <c r="D177" s="76" t="s">
        <v>50</v>
      </c>
      <c r="E177" s="76" t="s">
        <v>420</v>
      </c>
      <c r="F177" s="76" t="s">
        <v>299</v>
      </c>
      <c r="G177" s="23">
        <f>28632300/1000</f>
        <v>28632.3</v>
      </c>
      <c r="H177" s="77">
        <f>(230000+2000000)/1000</f>
        <v>2230</v>
      </c>
      <c r="I177" s="77"/>
      <c r="J177" s="77">
        <f>105</f>
        <v>105</v>
      </c>
      <c r="K177" s="77">
        <f>173+385</f>
        <v>558</v>
      </c>
      <c r="L177" s="77"/>
      <c r="M177" s="77">
        <f>403.6+100+50</f>
        <v>553.6</v>
      </c>
      <c r="N177" s="77">
        <f>1000+115</f>
        <v>1115</v>
      </c>
      <c r="O177" s="77"/>
      <c r="P177" s="77">
        <f>31+212.43</f>
        <v>243.43</v>
      </c>
      <c r="Q177" s="77">
        <f>329.1+141.2+144.8+350</f>
        <v>965.1</v>
      </c>
      <c r="R177" s="77">
        <v>-400</v>
      </c>
      <c r="S177" s="77">
        <v>14.064</v>
      </c>
      <c r="T177" s="77">
        <v>397</v>
      </c>
      <c r="U177" s="77"/>
      <c r="V177" s="77">
        <f>131.8+307.6+80+35.6</f>
        <v>555.0000000000001</v>
      </c>
      <c r="W177" s="78">
        <f>G177+H177+J177+K177+N177+M177+P177+Q177+R177+T177+S177+V177</f>
        <v>34968.494</v>
      </c>
    </row>
    <row r="178" spans="1:23" ht="25.5" hidden="1">
      <c r="A178" s="75" t="s">
        <v>393</v>
      </c>
      <c r="B178" s="76" t="s">
        <v>62</v>
      </c>
      <c r="C178" s="76" t="s">
        <v>286</v>
      </c>
      <c r="D178" s="76" t="s">
        <v>50</v>
      </c>
      <c r="E178" s="76" t="s">
        <v>394</v>
      </c>
      <c r="F178" s="76"/>
      <c r="G178" s="105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8"/>
    </row>
    <row r="179" spans="1:23" ht="25.5" hidden="1">
      <c r="A179" s="75" t="s">
        <v>266</v>
      </c>
      <c r="B179" s="76" t="s">
        <v>62</v>
      </c>
      <c r="C179" s="76" t="s">
        <v>286</v>
      </c>
      <c r="D179" s="76" t="s">
        <v>50</v>
      </c>
      <c r="E179" s="76" t="s">
        <v>394</v>
      </c>
      <c r="F179" s="76" t="s">
        <v>273</v>
      </c>
      <c r="G179" s="23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8"/>
    </row>
    <row r="180" spans="1:23" ht="25.5">
      <c r="A180" s="73" t="s">
        <v>421</v>
      </c>
      <c r="B180" s="74"/>
      <c r="C180" s="74" t="s">
        <v>330</v>
      </c>
      <c r="D180" s="74"/>
      <c r="E180" s="74"/>
      <c r="F180" s="74"/>
      <c r="G180" s="20">
        <f aca="true" t="shared" si="42" ref="G180:W180">G181+G187+G196</f>
        <v>12276</v>
      </c>
      <c r="H180" s="20">
        <f t="shared" si="42"/>
        <v>0</v>
      </c>
      <c r="I180" s="20">
        <f t="shared" si="42"/>
        <v>14619.252</v>
      </c>
      <c r="J180" s="20">
        <f t="shared" si="42"/>
        <v>0</v>
      </c>
      <c r="K180" s="20">
        <f t="shared" si="42"/>
        <v>188</v>
      </c>
      <c r="L180" s="20">
        <f t="shared" si="42"/>
        <v>0</v>
      </c>
      <c r="M180" s="20">
        <f t="shared" si="42"/>
        <v>0</v>
      </c>
      <c r="N180" s="20">
        <f t="shared" si="42"/>
        <v>120</v>
      </c>
      <c r="O180" s="20">
        <f t="shared" si="42"/>
        <v>0</v>
      </c>
      <c r="P180" s="20">
        <f t="shared" si="42"/>
        <v>0</v>
      </c>
      <c r="Q180" s="20">
        <f t="shared" si="42"/>
        <v>350</v>
      </c>
      <c r="R180" s="20">
        <f t="shared" si="42"/>
        <v>0</v>
      </c>
      <c r="S180" s="20">
        <f t="shared" si="42"/>
        <v>421.9</v>
      </c>
      <c r="T180" s="20">
        <f t="shared" si="42"/>
        <v>-17.1</v>
      </c>
      <c r="U180" s="20">
        <f t="shared" si="42"/>
        <v>46.1</v>
      </c>
      <c r="V180" s="20"/>
      <c r="W180" s="46">
        <f t="shared" si="42"/>
        <v>28004.152000000002</v>
      </c>
    </row>
    <row r="181" spans="1:23" ht="25.5">
      <c r="A181" s="75" t="s">
        <v>422</v>
      </c>
      <c r="B181" s="76" t="s">
        <v>62</v>
      </c>
      <c r="C181" s="76" t="s">
        <v>330</v>
      </c>
      <c r="D181" s="76" t="s">
        <v>91</v>
      </c>
      <c r="E181" s="76" t="s">
        <v>423</v>
      </c>
      <c r="F181" s="74"/>
      <c r="G181" s="23">
        <f aca="true" t="shared" si="43" ref="G181:U182">G182</f>
        <v>9196</v>
      </c>
      <c r="H181" s="23">
        <f t="shared" si="43"/>
        <v>0</v>
      </c>
      <c r="I181" s="23">
        <f t="shared" si="43"/>
        <v>0</v>
      </c>
      <c r="J181" s="23">
        <f t="shared" si="43"/>
        <v>0</v>
      </c>
      <c r="K181" s="23">
        <f t="shared" si="43"/>
        <v>188</v>
      </c>
      <c r="L181" s="23">
        <f t="shared" si="43"/>
        <v>0</v>
      </c>
      <c r="M181" s="23">
        <f t="shared" si="43"/>
        <v>0</v>
      </c>
      <c r="N181" s="23">
        <f t="shared" si="43"/>
        <v>120</v>
      </c>
      <c r="O181" s="23">
        <f t="shared" si="43"/>
        <v>0</v>
      </c>
      <c r="P181" s="23">
        <f t="shared" si="43"/>
        <v>286.5</v>
      </c>
      <c r="Q181" s="23">
        <f t="shared" si="43"/>
        <v>0</v>
      </c>
      <c r="R181" s="23">
        <f t="shared" si="43"/>
        <v>0</v>
      </c>
      <c r="S181" s="23">
        <f t="shared" si="43"/>
        <v>421.9</v>
      </c>
      <c r="T181" s="23">
        <f t="shared" si="43"/>
        <v>37.5</v>
      </c>
      <c r="U181" s="23">
        <f t="shared" si="43"/>
        <v>46.1</v>
      </c>
      <c r="V181" s="23"/>
      <c r="W181" s="80">
        <f>W182</f>
        <v>10296</v>
      </c>
    </row>
    <row r="182" spans="1:23" ht="25.5">
      <c r="A182" s="75" t="s">
        <v>296</v>
      </c>
      <c r="B182" s="76" t="s">
        <v>62</v>
      </c>
      <c r="C182" s="76" t="s">
        <v>330</v>
      </c>
      <c r="D182" s="76" t="s">
        <v>91</v>
      </c>
      <c r="E182" s="76" t="s">
        <v>424</v>
      </c>
      <c r="F182" s="74"/>
      <c r="G182" s="23">
        <f t="shared" si="43"/>
        <v>9196</v>
      </c>
      <c r="H182" s="23">
        <f t="shared" si="43"/>
        <v>0</v>
      </c>
      <c r="I182" s="23">
        <f t="shared" si="43"/>
        <v>0</v>
      </c>
      <c r="J182" s="23">
        <f t="shared" si="43"/>
        <v>0</v>
      </c>
      <c r="K182" s="23">
        <f t="shared" si="43"/>
        <v>188</v>
      </c>
      <c r="L182" s="23">
        <f t="shared" si="43"/>
        <v>0</v>
      </c>
      <c r="M182" s="23">
        <f t="shared" si="43"/>
        <v>0</v>
      </c>
      <c r="N182" s="23">
        <f t="shared" si="43"/>
        <v>120</v>
      </c>
      <c r="O182" s="23">
        <f t="shared" si="43"/>
        <v>0</v>
      </c>
      <c r="P182" s="23">
        <f t="shared" si="43"/>
        <v>286.5</v>
      </c>
      <c r="Q182" s="23">
        <f t="shared" si="43"/>
        <v>0</v>
      </c>
      <c r="R182" s="23">
        <f t="shared" si="43"/>
        <v>0</v>
      </c>
      <c r="S182" s="23">
        <f t="shared" si="43"/>
        <v>421.9</v>
      </c>
      <c r="T182" s="23">
        <f t="shared" si="43"/>
        <v>37.5</v>
      </c>
      <c r="U182" s="23">
        <f t="shared" si="43"/>
        <v>46.1</v>
      </c>
      <c r="V182" s="23"/>
      <c r="W182" s="80">
        <f>W183</f>
        <v>10296</v>
      </c>
    </row>
    <row r="183" spans="1:23" ht="25.5">
      <c r="A183" s="75" t="s">
        <v>298</v>
      </c>
      <c r="B183" s="76" t="s">
        <v>62</v>
      </c>
      <c r="C183" s="76" t="s">
        <v>330</v>
      </c>
      <c r="D183" s="76" t="s">
        <v>91</v>
      </c>
      <c r="E183" s="76" t="s">
        <v>424</v>
      </c>
      <c r="F183" s="76" t="s">
        <v>299</v>
      </c>
      <c r="G183" s="23">
        <f>9196000/1000</f>
        <v>9196</v>
      </c>
      <c r="H183" s="77"/>
      <c r="I183" s="77"/>
      <c r="J183" s="77"/>
      <c r="K183" s="77">
        <f>19+169</f>
        <v>188</v>
      </c>
      <c r="L183" s="77"/>
      <c r="M183" s="77"/>
      <c r="N183" s="77">
        <v>120</v>
      </c>
      <c r="O183" s="77"/>
      <c r="P183" s="77">
        <f>106.5+180</f>
        <v>286.5</v>
      </c>
      <c r="Q183" s="77"/>
      <c r="R183" s="77"/>
      <c r="S183" s="77">
        <v>421.9</v>
      </c>
      <c r="T183" s="77">
        <v>37.5</v>
      </c>
      <c r="U183" s="77">
        <v>46.1</v>
      </c>
      <c r="V183" s="77"/>
      <c r="W183" s="78">
        <f>G183+H183+K183+N183+P183+T183+S183+U183</f>
        <v>10296</v>
      </c>
    </row>
    <row r="184" spans="1:23" ht="12.75" hidden="1">
      <c r="A184" s="75" t="s">
        <v>425</v>
      </c>
      <c r="B184" s="76" t="s">
        <v>62</v>
      </c>
      <c r="C184" s="76" t="s">
        <v>330</v>
      </c>
      <c r="D184" s="76" t="s">
        <v>91</v>
      </c>
      <c r="E184" s="76" t="s">
        <v>426</v>
      </c>
      <c r="F184" s="76"/>
      <c r="G184" s="23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8"/>
    </row>
    <row r="185" spans="1:23" ht="25.5" hidden="1">
      <c r="A185" s="75" t="s">
        <v>296</v>
      </c>
      <c r="B185" s="76" t="s">
        <v>62</v>
      </c>
      <c r="C185" s="76" t="s">
        <v>330</v>
      </c>
      <c r="D185" s="76" t="s">
        <v>91</v>
      </c>
      <c r="E185" s="76" t="s">
        <v>427</v>
      </c>
      <c r="F185" s="76"/>
      <c r="G185" s="23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8"/>
    </row>
    <row r="186" spans="1:23" ht="25.5" hidden="1">
      <c r="A186" s="75" t="s">
        <v>298</v>
      </c>
      <c r="B186" s="76" t="s">
        <v>62</v>
      </c>
      <c r="C186" s="76" t="s">
        <v>330</v>
      </c>
      <c r="D186" s="76" t="s">
        <v>91</v>
      </c>
      <c r="E186" s="76" t="s">
        <v>427</v>
      </c>
      <c r="F186" s="76" t="s">
        <v>299</v>
      </c>
      <c r="G186" s="23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8"/>
    </row>
    <row r="187" spans="1:23" ht="12.75">
      <c r="A187" s="73" t="s">
        <v>428</v>
      </c>
      <c r="B187" s="74" t="s">
        <v>62</v>
      </c>
      <c r="C187" s="74" t="s">
        <v>330</v>
      </c>
      <c r="D187" s="74" t="s">
        <v>91</v>
      </c>
      <c r="E187" s="74" t="s">
        <v>429</v>
      </c>
      <c r="F187" s="74"/>
      <c r="G187" s="20">
        <f aca="true" t="shared" si="44" ref="G187:W187">G188</f>
        <v>2480</v>
      </c>
      <c r="H187" s="20">
        <f t="shared" si="44"/>
        <v>0</v>
      </c>
      <c r="I187" s="20">
        <f t="shared" si="44"/>
        <v>14619.252</v>
      </c>
      <c r="J187" s="20">
        <f t="shared" si="44"/>
        <v>0</v>
      </c>
      <c r="K187" s="20">
        <f t="shared" si="44"/>
        <v>0</v>
      </c>
      <c r="L187" s="20">
        <f t="shared" si="44"/>
        <v>0</v>
      </c>
      <c r="M187" s="20">
        <f t="shared" si="44"/>
        <v>0</v>
      </c>
      <c r="N187" s="20">
        <f t="shared" si="44"/>
        <v>0</v>
      </c>
      <c r="O187" s="20">
        <f t="shared" si="44"/>
        <v>0</v>
      </c>
      <c r="P187" s="20">
        <f t="shared" si="44"/>
        <v>-286.5</v>
      </c>
      <c r="Q187" s="20">
        <f t="shared" si="44"/>
        <v>0</v>
      </c>
      <c r="R187" s="20">
        <f t="shared" si="44"/>
        <v>0</v>
      </c>
      <c r="S187" s="20">
        <f t="shared" si="44"/>
        <v>0</v>
      </c>
      <c r="T187" s="20">
        <f t="shared" si="44"/>
        <v>-54.6</v>
      </c>
      <c r="U187" s="20">
        <f t="shared" si="44"/>
        <v>0</v>
      </c>
      <c r="V187" s="20"/>
      <c r="W187" s="46">
        <f t="shared" si="44"/>
        <v>16758.152000000002</v>
      </c>
    </row>
    <row r="188" spans="1:23" ht="25.5">
      <c r="A188" s="75" t="s">
        <v>296</v>
      </c>
      <c r="B188" s="76" t="s">
        <v>62</v>
      </c>
      <c r="C188" s="76" t="s">
        <v>330</v>
      </c>
      <c r="D188" s="76" t="s">
        <v>91</v>
      </c>
      <c r="E188" s="76" t="s">
        <v>430</v>
      </c>
      <c r="F188" s="76"/>
      <c r="G188" s="23">
        <f>G189</f>
        <v>2480</v>
      </c>
      <c r="H188" s="23">
        <f>H189</f>
        <v>0</v>
      </c>
      <c r="I188" s="23">
        <f>I189</f>
        <v>14619.252</v>
      </c>
      <c r="J188" s="23"/>
      <c r="K188" s="23"/>
      <c r="L188" s="23"/>
      <c r="M188" s="23"/>
      <c r="N188" s="23"/>
      <c r="O188" s="23"/>
      <c r="P188" s="23">
        <f>P189</f>
        <v>-286.5</v>
      </c>
      <c r="Q188" s="23"/>
      <c r="R188" s="23"/>
      <c r="S188" s="23"/>
      <c r="T188" s="23">
        <f>T189</f>
        <v>-54.6</v>
      </c>
      <c r="U188" s="23"/>
      <c r="V188" s="23"/>
      <c r="W188" s="80">
        <f>W189</f>
        <v>16758.152000000002</v>
      </c>
    </row>
    <row r="189" spans="1:23" ht="25.5">
      <c r="A189" s="75" t="s">
        <v>298</v>
      </c>
      <c r="B189" s="76" t="s">
        <v>62</v>
      </c>
      <c r="C189" s="76" t="s">
        <v>330</v>
      </c>
      <c r="D189" s="76" t="s">
        <v>91</v>
      </c>
      <c r="E189" s="76" t="s">
        <v>430</v>
      </c>
      <c r="F189" s="76" t="s">
        <v>299</v>
      </c>
      <c r="G189" s="23">
        <f>2480000/1000</f>
        <v>2480</v>
      </c>
      <c r="H189" s="77"/>
      <c r="I189" s="77">
        <v>14619.252</v>
      </c>
      <c r="J189" s="77"/>
      <c r="K189" s="77"/>
      <c r="L189" s="77"/>
      <c r="M189" s="77"/>
      <c r="N189" s="77"/>
      <c r="O189" s="77"/>
      <c r="P189" s="77">
        <f>-106.5-180</f>
        <v>-286.5</v>
      </c>
      <c r="Q189" s="77"/>
      <c r="R189" s="77"/>
      <c r="S189" s="77"/>
      <c r="T189" s="77">
        <v>-54.6</v>
      </c>
      <c r="U189" s="77"/>
      <c r="V189" s="77"/>
      <c r="W189" s="78">
        <f>G189+H189+I189+P189+T189</f>
        <v>16758.152000000002</v>
      </c>
    </row>
    <row r="190" spans="1:23" ht="38.25" hidden="1">
      <c r="A190" s="75" t="s">
        <v>431</v>
      </c>
      <c r="B190" s="76" t="s">
        <v>62</v>
      </c>
      <c r="C190" s="76" t="s">
        <v>330</v>
      </c>
      <c r="D190" s="76" t="s">
        <v>91</v>
      </c>
      <c r="E190" s="76" t="s">
        <v>432</v>
      </c>
      <c r="F190" s="76"/>
      <c r="G190" s="23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8"/>
    </row>
    <row r="191" spans="1:23" ht="25.5" hidden="1">
      <c r="A191" s="75" t="s">
        <v>433</v>
      </c>
      <c r="B191" s="76" t="s">
        <v>62</v>
      </c>
      <c r="C191" s="76" t="s">
        <v>330</v>
      </c>
      <c r="D191" s="76" t="s">
        <v>91</v>
      </c>
      <c r="E191" s="76" t="s">
        <v>434</v>
      </c>
      <c r="F191" s="76"/>
      <c r="G191" s="23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8"/>
    </row>
    <row r="192" spans="1:23" ht="25.5" hidden="1">
      <c r="A192" s="75" t="s">
        <v>298</v>
      </c>
      <c r="B192" s="76" t="s">
        <v>62</v>
      </c>
      <c r="C192" s="76" t="s">
        <v>330</v>
      </c>
      <c r="D192" s="76" t="s">
        <v>91</v>
      </c>
      <c r="E192" s="76" t="s">
        <v>434</v>
      </c>
      <c r="F192" s="76" t="s">
        <v>299</v>
      </c>
      <c r="G192" s="23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8"/>
    </row>
    <row r="193" spans="1:23" ht="51" hidden="1">
      <c r="A193" s="92" t="s">
        <v>435</v>
      </c>
      <c r="B193" s="76" t="s">
        <v>62</v>
      </c>
      <c r="C193" s="76" t="s">
        <v>330</v>
      </c>
      <c r="D193" s="76" t="s">
        <v>91</v>
      </c>
      <c r="E193" s="76" t="s">
        <v>436</v>
      </c>
      <c r="F193" s="76"/>
      <c r="G193" s="23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8"/>
    </row>
    <row r="194" spans="1:23" ht="25.5" hidden="1">
      <c r="A194" s="75" t="s">
        <v>298</v>
      </c>
      <c r="B194" s="76" t="s">
        <v>62</v>
      </c>
      <c r="C194" s="76" t="s">
        <v>330</v>
      </c>
      <c r="D194" s="76" t="s">
        <v>91</v>
      </c>
      <c r="E194" s="76" t="s">
        <v>436</v>
      </c>
      <c r="F194" s="76" t="s">
        <v>299</v>
      </c>
      <c r="G194" s="23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8"/>
    </row>
    <row r="195" spans="1:23" ht="12.75" hidden="1">
      <c r="A195" s="75"/>
      <c r="B195" s="76"/>
      <c r="C195" s="76"/>
      <c r="D195" s="76"/>
      <c r="E195" s="76"/>
      <c r="F195" s="76"/>
      <c r="G195" s="23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8"/>
    </row>
    <row r="196" spans="1:23" ht="38.25">
      <c r="A196" s="94" t="s">
        <v>437</v>
      </c>
      <c r="B196" s="74"/>
      <c r="C196" s="74" t="s">
        <v>330</v>
      </c>
      <c r="D196" s="74" t="s">
        <v>282</v>
      </c>
      <c r="E196" s="74"/>
      <c r="F196" s="74"/>
      <c r="G196" s="20">
        <f aca="true" t="shared" si="45" ref="G196:R196">G200</f>
        <v>600</v>
      </c>
      <c r="H196" s="20">
        <f t="shared" si="45"/>
        <v>0</v>
      </c>
      <c r="I196" s="20">
        <f t="shared" si="45"/>
        <v>0</v>
      </c>
      <c r="J196" s="20">
        <f t="shared" si="45"/>
        <v>0</v>
      </c>
      <c r="K196" s="20">
        <f t="shared" si="45"/>
        <v>0</v>
      </c>
      <c r="L196" s="20">
        <f t="shared" si="45"/>
        <v>0</v>
      </c>
      <c r="M196" s="20">
        <f t="shared" si="45"/>
        <v>0</v>
      </c>
      <c r="N196" s="20">
        <f t="shared" si="45"/>
        <v>0</v>
      </c>
      <c r="O196" s="20">
        <f t="shared" si="45"/>
        <v>0</v>
      </c>
      <c r="P196" s="20">
        <f t="shared" si="45"/>
        <v>0</v>
      </c>
      <c r="Q196" s="20">
        <f t="shared" si="45"/>
        <v>350</v>
      </c>
      <c r="R196" s="20">
        <f t="shared" si="45"/>
        <v>0</v>
      </c>
      <c r="S196" s="20"/>
      <c r="T196" s="20"/>
      <c r="U196" s="20"/>
      <c r="V196" s="20"/>
      <c r="W196" s="46">
        <f>W200</f>
        <v>950</v>
      </c>
    </row>
    <row r="197" spans="1:23" ht="76.5" hidden="1">
      <c r="A197" s="75" t="s">
        <v>418</v>
      </c>
      <c r="B197" s="76" t="s">
        <v>62</v>
      </c>
      <c r="C197" s="76" t="s">
        <v>330</v>
      </c>
      <c r="D197" s="76" t="s">
        <v>282</v>
      </c>
      <c r="E197" s="76" t="s">
        <v>419</v>
      </c>
      <c r="F197" s="76"/>
      <c r="G197" s="23">
        <v>0</v>
      </c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8"/>
    </row>
    <row r="198" spans="1:23" ht="25.5" hidden="1">
      <c r="A198" s="75" t="s">
        <v>296</v>
      </c>
      <c r="B198" s="76" t="s">
        <v>62</v>
      </c>
      <c r="C198" s="76" t="s">
        <v>330</v>
      </c>
      <c r="D198" s="76" t="s">
        <v>282</v>
      </c>
      <c r="E198" s="76" t="s">
        <v>420</v>
      </c>
      <c r="F198" s="76"/>
      <c r="G198" s="23">
        <v>0</v>
      </c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8"/>
    </row>
    <row r="199" spans="1:23" ht="25.5" hidden="1">
      <c r="A199" s="75" t="s">
        <v>298</v>
      </c>
      <c r="B199" s="76" t="s">
        <v>62</v>
      </c>
      <c r="C199" s="76" t="s">
        <v>330</v>
      </c>
      <c r="D199" s="76" t="s">
        <v>282</v>
      </c>
      <c r="E199" s="76" t="s">
        <v>420</v>
      </c>
      <c r="F199" s="76" t="s">
        <v>299</v>
      </c>
      <c r="G199" s="23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8"/>
    </row>
    <row r="200" spans="1:23" ht="25.5">
      <c r="A200" s="91" t="s">
        <v>311</v>
      </c>
      <c r="B200" s="76" t="s">
        <v>62</v>
      </c>
      <c r="C200" s="76" t="s">
        <v>330</v>
      </c>
      <c r="D200" s="76" t="s">
        <v>282</v>
      </c>
      <c r="E200" s="76" t="s">
        <v>312</v>
      </c>
      <c r="F200" s="76"/>
      <c r="G200" s="23">
        <f>G201</f>
        <v>600</v>
      </c>
      <c r="H200" s="23">
        <f>H201</f>
        <v>0</v>
      </c>
      <c r="I200" s="23"/>
      <c r="J200" s="23"/>
      <c r="K200" s="23"/>
      <c r="L200" s="23"/>
      <c r="M200" s="23"/>
      <c r="N200" s="23"/>
      <c r="O200" s="23"/>
      <c r="P200" s="23"/>
      <c r="Q200" s="23">
        <f>Q201</f>
        <v>350</v>
      </c>
      <c r="R200" s="23"/>
      <c r="S200" s="23"/>
      <c r="T200" s="23"/>
      <c r="U200" s="23"/>
      <c r="V200" s="23"/>
      <c r="W200" s="80">
        <f>W201</f>
        <v>950</v>
      </c>
    </row>
    <row r="201" spans="1:23" ht="25.5">
      <c r="A201" s="75" t="s">
        <v>266</v>
      </c>
      <c r="B201" s="76" t="s">
        <v>62</v>
      </c>
      <c r="C201" s="76" t="s">
        <v>330</v>
      </c>
      <c r="D201" s="76" t="s">
        <v>282</v>
      </c>
      <c r="E201" s="76" t="s">
        <v>312</v>
      </c>
      <c r="F201" s="76" t="s">
        <v>273</v>
      </c>
      <c r="G201" s="23">
        <f>600000/1000</f>
        <v>600</v>
      </c>
      <c r="H201" s="77"/>
      <c r="I201" s="77"/>
      <c r="J201" s="77"/>
      <c r="K201" s="77"/>
      <c r="L201" s="77"/>
      <c r="M201" s="77"/>
      <c r="N201" s="77"/>
      <c r="O201" s="77"/>
      <c r="P201" s="77"/>
      <c r="Q201" s="77">
        <v>350</v>
      </c>
      <c r="R201" s="77"/>
      <c r="S201" s="77"/>
      <c r="T201" s="77"/>
      <c r="U201" s="77"/>
      <c r="V201" s="77"/>
      <c r="W201" s="78">
        <f>G201+H201+Q201+R201</f>
        <v>950</v>
      </c>
    </row>
    <row r="202" spans="1:23" ht="25.5">
      <c r="A202" s="73" t="s">
        <v>438</v>
      </c>
      <c r="B202" s="74"/>
      <c r="C202" s="74" t="s">
        <v>50</v>
      </c>
      <c r="D202" s="74"/>
      <c r="E202" s="74"/>
      <c r="F202" s="74"/>
      <c r="G202" s="20">
        <f aca="true" t="shared" si="46" ref="G202:W202">G203+G223+G233+G239+G244</f>
        <v>217635.8</v>
      </c>
      <c r="H202" s="20">
        <f t="shared" si="46"/>
        <v>12102</v>
      </c>
      <c r="I202" s="20">
        <f t="shared" si="46"/>
        <v>300</v>
      </c>
      <c r="J202" s="20">
        <f t="shared" si="46"/>
        <v>-24723</v>
      </c>
      <c r="K202" s="20">
        <f t="shared" si="46"/>
        <v>2207.2</v>
      </c>
      <c r="L202" s="20">
        <f t="shared" si="46"/>
        <v>0</v>
      </c>
      <c r="M202" s="130">
        <f t="shared" si="46"/>
        <v>2637.8</v>
      </c>
      <c r="N202" s="20">
        <f t="shared" si="46"/>
        <v>1100</v>
      </c>
      <c r="O202" s="20">
        <f t="shared" si="46"/>
        <v>2015</v>
      </c>
      <c r="P202" s="20">
        <f t="shared" si="46"/>
        <v>-1</v>
      </c>
      <c r="Q202" s="20">
        <f t="shared" si="46"/>
        <v>6636</v>
      </c>
      <c r="R202" s="20">
        <f t="shared" si="46"/>
        <v>0</v>
      </c>
      <c r="S202" s="20">
        <f t="shared" si="46"/>
        <v>2000</v>
      </c>
      <c r="T202" s="20">
        <f t="shared" si="46"/>
        <v>782.5</v>
      </c>
      <c r="U202" s="20">
        <f t="shared" si="46"/>
        <v>507.577</v>
      </c>
      <c r="V202" s="20">
        <f t="shared" si="46"/>
        <v>1687</v>
      </c>
      <c r="W202" s="46">
        <f t="shared" si="46"/>
        <v>224886.87699999998</v>
      </c>
    </row>
    <row r="203" spans="1:23" ht="12.75">
      <c r="A203" s="73" t="s">
        <v>439</v>
      </c>
      <c r="B203" s="74"/>
      <c r="C203" s="74" t="s">
        <v>50</v>
      </c>
      <c r="D203" s="74" t="s">
        <v>91</v>
      </c>
      <c r="E203" s="74"/>
      <c r="F203" s="74"/>
      <c r="G203" s="20">
        <f>G204+G217+G219+G221</f>
        <v>170279.1</v>
      </c>
      <c r="H203" s="20">
        <f>H204+H217+H219+H221</f>
        <v>10916.5</v>
      </c>
      <c r="I203" s="20">
        <f>I204+I217+I219+I221</f>
        <v>0</v>
      </c>
      <c r="J203" s="20">
        <f>J204+J217+J219+J221</f>
        <v>-21563</v>
      </c>
      <c r="K203" s="20">
        <f>K204+K217+K219+K221+K207+K215</f>
        <v>2207.2</v>
      </c>
      <c r="L203" s="20">
        <f>L204+L217+L219+L221</f>
        <v>0</v>
      </c>
      <c r="M203" s="20">
        <f>M204+M217+M219+M221+M211</f>
        <v>2174</v>
      </c>
      <c r="N203" s="20">
        <f>N204+N217+N219+N221</f>
        <v>1100</v>
      </c>
      <c r="O203" s="20">
        <f>O204+O217+O219+O221</f>
        <v>2015</v>
      </c>
      <c r="P203" s="20">
        <f>+P211</f>
        <v>-1</v>
      </c>
      <c r="Q203" s="20">
        <f>Q204+Q217+Q219+Q221+Q209+Q215</f>
        <v>6636</v>
      </c>
      <c r="R203" s="20">
        <f>R204+R217+R219+R221</f>
        <v>0</v>
      </c>
      <c r="S203" s="20">
        <f>S204+S217+S219+S221</f>
        <v>2000</v>
      </c>
      <c r="T203" s="20">
        <f>T204+T217+T219+T221</f>
        <v>458.9</v>
      </c>
      <c r="U203" s="20">
        <f>U204+U217+U219+U221</f>
        <v>423.3</v>
      </c>
      <c r="V203" s="20">
        <f>V204+V217+V219+V221</f>
        <v>1687</v>
      </c>
      <c r="W203" s="46">
        <f>W204+W217+W219+W221+W215+W207+W211+W209</f>
        <v>178333</v>
      </c>
    </row>
    <row r="204" spans="1:23" ht="25.5">
      <c r="A204" s="75" t="s">
        <v>440</v>
      </c>
      <c r="B204" s="76" t="s">
        <v>62</v>
      </c>
      <c r="C204" s="76" t="s">
        <v>50</v>
      </c>
      <c r="D204" s="76" t="s">
        <v>91</v>
      </c>
      <c r="E204" s="76" t="s">
        <v>441</v>
      </c>
      <c r="F204" s="76"/>
      <c r="G204" s="105">
        <f aca="true" t="shared" si="47" ref="G204:V205">G205</f>
        <v>125818.1</v>
      </c>
      <c r="H204" s="105">
        <f t="shared" si="47"/>
        <v>10916.5</v>
      </c>
      <c r="I204" s="105">
        <f t="shared" si="47"/>
        <v>0</v>
      </c>
      <c r="J204" s="105">
        <f t="shared" si="47"/>
        <v>0</v>
      </c>
      <c r="K204" s="105">
        <f t="shared" si="47"/>
        <v>350</v>
      </c>
      <c r="L204" s="105">
        <f t="shared" si="47"/>
        <v>0</v>
      </c>
      <c r="M204" s="105">
        <f t="shared" si="47"/>
        <v>0</v>
      </c>
      <c r="N204" s="105">
        <f t="shared" si="47"/>
        <v>1100</v>
      </c>
      <c r="O204" s="105">
        <f t="shared" si="47"/>
        <v>2015</v>
      </c>
      <c r="P204" s="105">
        <f t="shared" si="47"/>
        <v>0</v>
      </c>
      <c r="Q204" s="105">
        <f t="shared" si="47"/>
        <v>4000</v>
      </c>
      <c r="R204" s="105">
        <f t="shared" si="47"/>
        <v>0</v>
      </c>
      <c r="S204" s="105">
        <f t="shared" si="47"/>
        <v>2000</v>
      </c>
      <c r="T204" s="105">
        <f t="shared" si="47"/>
        <v>458.9</v>
      </c>
      <c r="U204" s="105">
        <f t="shared" si="47"/>
        <v>193.3</v>
      </c>
      <c r="V204" s="105">
        <f t="shared" si="47"/>
        <v>1687</v>
      </c>
      <c r="W204" s="108">
        <f>W205</f>
        <v>148538.8</v>
      </c>
    </row>
    <row r="205" spans="1:23" ht="25.5">
      <c r="A205" s="75" t="s">
        <v>296</v>
      </c>
      <c r="B205" s="76" t="s">
        <v>62</v>
      </c>
      <c r="C205" s="76" t="s">
        <v>50</v>
      </c>
      <c r="D205" s="76" t="s">
        <v>91</v>
      </c>
      <c r="E205" s="76" t="s">
        <v>442</v>
      </c>
      <c r="F205" s="76"/>
      <c r="G205" s="23">
        <f t="shared" si="47"/>
        <v>125818.1</v>
      </c>
      <c r="H205" s="23">
        <f t="shared" si="47"/>
        <v>10916.5</v>
      </c>
      <c r="I205" s="23">
        <f t="shared" si="47"/>
        <v>0</v>
      </c>
      <c r="J205" s="23">
        <f t="shared" si="47"/>
        <v>0</v>
      </c>
      <c r="K205" s="23">
        <f t="shared" si="47"/>
        <v>350</v>
      </c>
      <c r="L205" s="23">
        <f t="shared" si="47"/>
        <v>0</v>
      </c>
      <c r="M205" s="23">
        <f t="shared" si="47"/>
        <v>0</v>
      </c>
      <c r="N205" s="23">
        <f t="shared" si="47"/>
        <v>1100</v>
      </c>
      <c r="O205" s="23">
        <f t="shared" si="47"/>
        <v>2015</v>
      </c>
      <c r="P205" s="23">
        <f t="shared" si="47"/>
        <v>0</v>
      </c>
      <c r="Q205" s="23">
        <f t="shared" si="47"/>
        <v>4000</v>
      </c>
      <c r="R205" s="23">
        <f t="shared" si="47"/>
        <v>0</v>
      </c>
      <c r="S205" s="23">
        <f t="shared" si="47"/>
        <v>2000</v>
      </c>
      <c r="T205" s="23">
        <f t="shared" si="47"/>
        <v>458.9</v>
      </c>
      <c r="U205" s="23">
        <f t="shared" si="47"/>
        <v>193.3</v>
      </c>
      <c r="V205" s="23">
        <f t="shared" si="47"/>
        <v>1687</v>
      </c>
      <c r="W205" s="80">
        <f>W206</f>
        <v>148538.8</v>
      </c>
    </row>
    <row r="206" spans="1:23" ht="25.5">
      <c r="A206" s="75" t="s">
        <v>298</v>
      </c>
      <c r="B206" s="76" t="s">
        <v>62</v>
      </c>
      <c r="C206" s="76" t="s">
        <v>50</v>
      </c>
      <c r="D206" s="76" t="s">
        <v>91</v>
      </c>
      <c r="E206" s="76" t="s">
        <v>442</v>
      </c>
      <c r="F206" s="76" t="s">
        <v>299</v>
      </c>
      <c r="G206" s="23">
        <f>125818100/1000</f>
        <v>125818.1</v>
      </c>
      <c r="H206" s="77">
        <f>(500000+10000000)/1000+416.5</f>
        <v>10916.5</v>
      </c>
      <c r="I206" s="77"/>
      <c r="J206" s="77"/>
      <c r="K206" s="77">
        <f>100+250</f>
        <v>350</v>
      </c>
      <c r="L206" s="77"/>
      <c r="M206" s="77"/>
      <c r="N206" s="77">
        <f>850+250</f>
        <v>1100</v>
      </c>
      <c r="O206" s="77">
        <v>2015</v>
      </c>
      <c r="P206" s="77"/>
      <c r="Q206" s="77">
        <f>4000</f>
        <v>4000</v>
      </c>
      <c r="R206" s="77"/>
      <c r="S206" s="77">
        <v>2000</v>
      </c>
      <c r="T206" s="77">
        <v>458.9</v>
      </c>
      <c r="U206" s="77">
        <v>193.3</v>
      </c>
      <c r="V206" s="77">
        <f>1500+187</f>
        <v>1687</v>
      </c>
      <c r="W206" s="78">
        <f>G206+H206+K206+N206+O206+P206+Q206+R206+T206+S206+U206+V206</f>
        <v>148538.8</v>
      </c>
    </row>
    <row r="207" spans="1:23" ht="25.5">
      <c r="A207" s="91" t="s">
        <v>311</v>
      </c>
      <c r="B207" s="76" t="s">
        <v>62</v>
      </c>
      <c r="C207" s="76" t="s">
        <v>50</v>
      </c>
      <c r="D207" s="76" t="s">
        <v>91</v>
      </c>
      <c r="E207" s="76" t="s">
        <v>312</v>
      </c>
      <c r="F207" s="76"/>
      <c r="G207" s="23"/>
      <c r="H207" s="77"/>
      <c r="I207" s="77"/>
      <c r="J207" s="77"/>
      <c r="K207" s="77">
        <f>K208</f>
        <v>1131.2</v>
      </c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8">
        <f>W208</f>
        <v>1131.2</v>
      </c>
    </row>
    <row r="208" spans="1:23" ht="25.5">
      <c r="A208" s="75" t="s">
        <v>266</v>
      </c>
      <c r="B208" s="76" t="s">
        <v>62</v>
      </c>
      <c r="C208" s="76" t="s">
        <v>50</v>
      </c>
      <c r="D208" s="76" t="s">
        <v>91</v>
      </c>
      <c r="E208" s="76" t="s">
        <v>312</v>
      </c>
      <c r="F208" s="76" t="s">
        <v>273</v>
      </c>
      <c r="G208" s="23"/>
      <c r="H208" s="77"/>
      <c r="I208" s="77"/>
      <c r="J208" s="77"/>
      <c r="K208" s="77">
        <v>1131.2</v>
      </c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8">
        <f>K208</f>
        <v>1131.2</v>
      </c>
    </row>
    <row r="209" spans="1:23" ht="63.75">
      <c r="A209" s="37" t="s">
        <v>443</v>
      </c>
      <c r="B209" s="76" t="s">
        <v>62</v>
      </c>
      <c r="C209" s="76" t="s">
        <v>50</v>
      </c>
      <c r="D209" s="76" t="s">
        <v>91</v>
      </c>
      <c r="E209" s="76" t="s">
        <v>444</v>
      </c>
      <c r="F209" s="76"/>
      <c r="G209" s="23"/>
      <c r="H209" s="77"/>
      <c r="I209" s="77"/>
      <c r="J209" s="77"/>
      <c r="K209" s="77"/>
      <c r="L209" s="77"/>
      <c r="M209" s="77"/>
      <c r="N209" s="77"/>
      <c r="O209" s="77"/>
      <c r="P209" s="77"/>
      <c r="Q209" s="77">
        <f>Q210</f>
        <v>1910</v>
      </c>
      <c r="R209" s="77"/>
      <c r="S209" s="77"/>
      <c r="T209" s="77"/>
      <c r="U209" s="77"/>
      <c r="V209" s="77"/>
      <c r="W209" s="78">
        <f>W210</f>
        <v>1910</v>
      </c>
    </row>
    <row r="210" spans="1:23" ht="25.5">
      <c r="A210" s="97" t="s">
        <v>298</v>
      </c>
      <c r="B210" s="76" t="s">
        <v>62</v>
      </c>
      <c r="C210" s="76" t="s">
        <v>50</v>
      </c>
      <c r="D210" s="76" t="s">
        <v>91</v>
      </c>
      <c r="E210" s="76" t="s">
        <v>444</v>
      </c>
      <c r="F210" s="76" t="s">
        <v>299</v>
      </c>
      <c r="G210" s="23"/>
      <c r="H210" s="77"/>
      <c r="I210" s="77"/>
      <c r="J210" s="77"/>
      <c r="K210" s="77"/>
      <c r="L210" s="77"/>
      <c r="M210" s="77"/>
      <c r="N210" s="77"/>
      <c r="O210" s="77"/>
      <c r="P210" s="77"/>
      <c r="Q210" s="77">
        <v>1910</v>
      </c>
      <c r="R210" s="77"/>
      <c r="S210" s="77"/>
      <c r="T210" s="77"/>
      <c r="U210" s="77"/>
      <c r="V210" s="77"/>
      <c r="W210" s="78">
        <f>Q210+R210</f>
        <v>1910</v>
      </c>
    </row>
    <row r="211" spans="1:23" ht="25.5">
      <c r="A211" s="75" t="s">
        <v>393</v>
      </c>
      <c r="B211" s="76" t="s">
        <v>62</v>
      </c>
      <c r="C211" s="76" t="s">
        <v>50</v>
      </c>
      <c r="D211" s="76" t="s">
        <v>91</v>
      </c>
      <c r="E211" s="76" t="s">
        <v>394</v>
      </c>
      <c r="F211" s="76"/>
      <c r="G211" s="23"/>
      <c r="H211" s="77"/>
      <c r="I211" s="77"/>
      <c r="J211" s="77"/>
      <c r="K211" s="77"/>
      <c r="L211" s="77"/>
      <c r="M211" s="77">
        <f>M212</f>
        <v>2174</v>
      </c>
      <c r="N211" s="77"/>
      <c r="O211" s="77"/>
      <c r="P211" s="77">
        <f>P212</f>
        <v>-1</v>
      </c>
      <c r="Q211" s="77"/>
      <c r="R211" s="77"/>
      <c r="S211" s="77"/>
      <c r="T211" s="77"/>
      <c r="U211" s="77"/>
      <c r="V211" s="77"/>
      <c r="W211" s="78">
        <f>W212</f>
        <v>2173</v>
      </c>
    </row>
    <row r="212" spans="1:23" ht="25.5">
      <c r="A212" s="97" t="s">
        <v>298</v>
      </c>
      <c r="B212" s="76" t="s">
        <v>62</v>
      </c>
      <c r="C212" s="76" t="s">
        <v>50</v>
      </c>
      <c r="D212" s="76" t="s">
        <v>91</v>
      </c>
      <c r="E212" s="76" t="s">
        <v>394</v>
      </c>
      <c r="F212" s="76" t="s">
        <v>299</v>
      </c>
      <c r="G212" s="23"/>
      <c r="H212" s="77"/>
      <c r="I212" s="77"/>
      <c r="J212" s="77"/>
      <c r="K212" s="77"/>
      <c r="L212" s="77"/>
      <c r="M212" s="77">
        <v>2174</v>
      </c>
      <c r="N212" s="77"/>
      <c r="O212" s="77"/>
      <c r="P212" s="77">
        <f>-2174+2173</f>
        <v>-1</v>
      </c>
      <c r="Q212" s="77"/>
      <c r="R212" s="77"/>
      <c r="S212" s="77"/>
      <c r="T212" s="77"/>
      <c r="U212" s="77"/>
      <c r="V212" s="77"/>
      <c r="W212" s="78">
        <f>M212+P212</f>
        <v>2173</v>
      </c>
    </row>
    <row r="213" spans="1:23" ht="25.5" hidden="1">
      <c r="A213" s="98" t="s">
        <v>361</v>
      </c>
      <c r="B213" s="76" t="s">
        <v>62</v>
      </c>
      <c r="C213" s="76" t="s">
        <v>50</v>
      </c>
      <c r="D213" s="76" t="s">
        <v>91</v>
      </c>
      <c r="E213" s="76" t="s">
        <v>362</v>
      </c>
      <c r="F213" s="76"/>
      <c r="G213" s="23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8"/>
    </row>
    <row r="214" spans="1:23" ht="25.5" hidden="1">
      <c r="A214" s="97" t="s">
        <v>298</v>
      </c>
      <c r="B214" s="76" t="s">
        <v>62</v>
      </c>
      <c r="C214" s="76" t="s">
        <v>50</v>
      </c>
      <c r="D214" s="76" t="s">
        <v>91</v>
      </c>
      <c r="E214" s="76" t="s">
        <v>362</v>
      </c>
      <c r="F214" s="76" t="s">
        <v>299</v>
      </c>
      <c r="G214" s="23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8"/>
    </row>
    <row r="215" spans="1:23" ht="51">
      <c r="A215" s="86" t="s">
        <v>445</v>
      </c>
      <c r="B215" s="76" t="s">
        <v>62</v>
      </c>
      <c r="C215" s="76" t="s">
        <v>50</v>
      </c>
      <c r="D215" s="76" t="s">
        <v>91</v>
      </c>
      <c r="E215" s="76" t="s">
        <v>446</v>
      </c>
      <c r="F215" s="76"/>
      <c r="G215" s="23"/>
      <c r="H215" s="77"/>
      <c r="I215" s="77"/>
      <c r="J215" s="77"/>
      <c r="K215" s="77">
        <f>K216</f>
        <v>726</v>
      </c>
      <c r="L215" s="77">
        <f>L216</f>
        <v>0</v>
      </c>
      <c r="M215" s="77"/>
      <c r="N215" s="77"/>
      <c r="O215" s="77"/>
      <c r="P215" s="77"/>
      <c r="Q215" s="77">
        <f>Q216</f>
        <v>726</v>
      </c>
      <c r="R215" s="77"/>
      <c r="S215" s="77"/>
      <c r="T215" s="77"/>
      <c r="U215" s="77"/>
      <c r="V215" s="77"/>
      <c r="W215" s="78">
        <f>W216</f>
        <v>1452</v>
      </c>
    </row>
    <row r="216" spans="1:23" ht="25.5">
      <c r="A216" s="97" t="s">
        <v>298</v>
      </c>
      <c r="B216" s="76" t="s">
        <v>62</v>
      </c>
      <c r="C216" s="76" t="s">
        <v>50</v>
      </c>
      <c r="D216" s="76" t="s">
        <v>91</v>
      </c>
      <c r="E216" s="76" t="s">
        <v>446</v>
      </c>
      <c r="F216" s="76" t="s">
        <v>299</v>
      </c>
      <c r="G216" s="23"/>
      <c r="H216" s="77"/>
      <c r="I216" s="77"/>
      <c r="J216" s="77"/>
      <c r="K216" s="77">
        <v>726</v>
      </c>
      <c r="L216" s="77"/>
      <c r="M216" s="77"/>
      <c r="N216" s="77"/>
      <c r="O216" s="77"/>
      <c r="P216" s="77"/>
      <c r="Q216" s="77">
        <v>726</v>
      </c>
      <c r="R216" s="77"/>
      <c r="S216" s="77"/>
      <c r="T216" s="77"/>
      <c r="U216" s="77"/>
      <c r="V216" s="77"/>
      <c r="W216" s="78">
        <f>K216+Q216+R216</f>
        <v>1452</v>
      </c>
    </row>
    <row r="217" spans="1:23" ht="51">
      <c r="A217" s="37" t="s">
        <v>447</v>
      </c>
      <c r="B217" s="76" t="s">
        <v>62</v>
      </c>
      <c r="C217" s="76" t="s">
        <v>50</v>
      </c>
      <c r="D217" s="76" t="s">
        <v>91</v>
      </c>
      <c r="E217" s="76" t="s">
        <v>448</v>
      </c>
      <c r="F217" s="76"/>
      <c r="G217" s="23">
        <f>G218</f>
        <v>22898</v>
      </c>
      <c r="H217" s="23">
        <f aca="true" t="shared" si="48" ref="H217:U217">H218</f>
        <v>0</v>
      </c>
      <c r="I217" s="23">
        <f t="shared" si="48"/>
        <v>0</v>
      </c>
      <c r="J217" s="23">
        <f t="shared" si="48"/>
        <v>0</v>
      </c>
      <c r="K217" s="23">
        <f t="shared" si="48"/>
        <v>0</v>
      </c>
      <c r="L217" s="23">
        <f t="shared" si="48"/>
        <v>0</v>
      </c>
      <c r="M217" s="23">
        <f t="shared" si="48"/>
        <v>0</v>
      </c>
      <c r="N217" s="23">
        <f t="shared" si="48"/>
        <v>0</v>
      </c>
      <c r="O217" s="23">
        <f t="shared" si="48"/>
        <v>0</v>
      </c>
      <c r="P217" s="23">
        <f t="shared" si="48"/>
        <v>0</v>
      </c>
      <c r="Q217" s="23">
        <f t="shared" si="48"/>
        <v>0</v>
      </c>
      <c r="R217" s="23">
        <f t="shared" si="48"/>
        <v>0</v>
      </c>
      <c r="S217" s="23">
        <f t="shared" si="48"/>
        <v>0</v>
      </c>
      <c r="T217" s="23">
        <f t="shared" si="48"/>
        <v>0</v>
      </c>
      <c r="U217" s="23">
        <f t="shared" si="48"/>
        <v>230</v>
      </c>
      <c r="V217" s="23"/>
      <c r="W217" s="80">
        <f>W218</f>
        <v>23128</v>
      </c>
    </row>
    <row r="218" spans="1:23" ht="25.5">
      <c r="A218" s="97" t="s">
        <v>298</v>
      </c>
      <c r="B218" s="76" t="s">
        <v>62</v>
      </c>
      <c r="C218" s="76" t="s">
        <v>50</v>
      </c>
      <c r="D218" s="76" t="s">
        <v>91</v>
      </c>
      <c r="E218" s="76" t="s">
        <v>448</v>
      </c>
      <c r="F218" s="76" t="s">
        <v>299</v>
      </c>
      <c r="G218" s="23">
        <f>22898000/1000</f>
        <v>22898</v>
      </c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>
        <f>162+68</f>
        <v>230</v>
      </c>
      <c r="V218" s="77"/>
      <c r="W218" s="78">
        <f>G218+H218+U218</f>
        <v>23128</v>
      </c>
    </row>
    <row r="219" spans="1:23" ht="38.25" hidden="1">
      <c r="A219" s="75" t="s">
        <v>449</v>
      </c>
      <c r="B219" s="76" t="s">
        <v>62</v>
      </c>
      <c r="C219" s="76" t="s">
        <v>50</v>
      </c>
      <c r="D219" s="76" t="s">
        <v>91</v>
      </c>
      <c r="E219" s="70" t="s">
        <v>450</v>
      </c>
      <c r="F219" s="76"/>
      <c r="G219" s="23">
        <f>G220</f>
        <v>9050</v>
      </c>
      <c r="H219" s="23">
        <f>H220</f>
        <v>0</v>
      </c>
      <c r="I219" s="23"/>
      <c r="J219" s="23">
        <f>J220</f>
        <v>-9050</v>
      </c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80">
        <f>W220</f>
        <v>0</v>
      </c>
    </row>
    <row r="220" spans="1:23" ht="25.5" hidden="1">
      <c r="A220" s="75" t="s">
        <v>266</v>
      </c>
      <c r="B220" s="76" t="s">
        <v>62</v>
      </c>
      <c r="C220" s="76" t="s">
        <v>50</v>
      </c>
      <c r="D220" s="76" t="s">
        <v>91</v>
      </c>
      <c r="E220" s="70" t="s">
        <v>450</v>
      </c>
      <c r="F220" s="70">
        <v>500</v>
      </c>
      <c r="G220" s="23">
        <f>9050000/1000</f>
        <v>9050</v>
      </c>
      <c r="H220" s="77"/>
      <c r="I220" s="77"/>
      <c r="J220" s="77">
        <v>-9050</v>
      </c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8">
        <f>G220+H220+J220</f>
        <v>0</v>
      </c>
    </row>
    <row r="221" spans="1:23" ht="12.75" hidden="1">
      <c r="A221" s="75" t="s">
        <v>451</v>
      </c>
      <c r="B221" s="76" t="s">
        <v>62</v>
      </c>
      <c r="C221" s="76" t="s">
        <v>50</v>
      </c>
      <c r="D221" s="76" t="s">
        <v>91</v>
      </c>
      <c r="E221" s="70" t="s">
        <v>452</v>
      </c>
      <c r="F221" s="76"/>
      <c r="G221" s="23">
        <f>G222</f>
        <v>12513</v>
      </c>
      <c r="H221" s="23">
        <f>H222</f>
        <v>0</v>
      </c>
      <c r="I221" s="23"/>
      <c r="J221" s="23">
        <f>J222</f>
        <v>-12513</v>
      </c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80">
        <f>W222</f>
        <v>0</v>
      </c>
    </row>
    <row r="222" spans="1:23" ht="25.5" hidden="1">
      <c r="A222" s="75" t="s">
        <v>266</v>
      </c>
      <c r="B222" s="76" t="s">
        <v>62</v>
      </c>
      <c r="C222" s="76" t="s">
        <v>50</v>
      </c>
      <c r="D222" s="76" t="s">
        <v>91</v>
      </c>
      <c r="E222" s="70" t="s">
        <v>452</v>
      </c>
      <c r="F222" s="70">
        <v>500</v>
      </c>
      <c r="G222" s="23">
        <f>12513000/1000</f>
        <v>12513</v>
      </c>
      <c r="H222" s="77"/>
      <c r="I222" s="77"/>
      <c r="J222" s="77">
        <v>-12513</v>
      </c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8">
        <f>G222+H222+J222</f>
        <v>0</v>
      </c>
    </row>
    <row r="223" spans="1:23" ht="12.75">
      <c r="A223" s="73" t="s">
        <v>453</v>
      </c>
      <c r="B223" s="76"/>
      <c r="C223" s="74" t="s">
        <v>50</v>
      </c>
      <c r="D223" s="74" t="s">
        <v>102</v>
      </c>
      <c r="E223" s="74"/>
      <c r="F223" s="74"/>
      <c r="G223" s="88">
        <f>G224+G226+G229</f>
        <v>4944.969999999999</v>
      </c>
      <c r="H223" s="88">
        <f aca="true" t="shared" si="49" ref="H223:U223">H224+H226+H229</f>
        <v>0</v>
      </c>
      <c r="I223" s="88">
        <f>I224+I226+I229+I231</f>
        <v>300</v>
      </c>
      <c r="J223" s="88">
        <f t="shared" si="49"/>
        <v>0</v>
      </c>
      <c r="K223" s="88">
        <f t="shared" si="49"/>
        <v>0</v>
      </c>
      <c r="L223" s="88">
        <f t="shared" si="49"/>
        <v>0</v>
      </c>
      <c r="M223" s="88">
        <f t="shared" si="49"/>
        <v>0</v>
      </c>
      <c r="N223" s="88">
        <f t="shared" si="49"/>
        <v>0</v>
      </c>
      <c r="O223" s="88">
        <f t="shared" si="49"/>
        <v>0</v>
      </c>
      <c r="P223" s="88">
        <f t="shared" si="49"/>
        <v>0</v>
      </c>
      <c r="Q223" s="88">
        <f t="shared" si="49"/>
        <v>0</v>
      </c>
      <c r="R223" s="88">
        <f t="shared" si="49"/>
        <v>0</v>
      </c>
      <c r="S223" s="88">
        <f t="shared" si="49"/>
        <v>0</v>
      </c>
      <c r="T223" s="88">
        <f t="shared" si="49"/>
        <v>0</v>
      </c>
      <c r="U223" s="88">
        <f t="shared" si="49"/>
        <v>-51.123</v>
      </c>
      <c r="V223" s="88"/>
      <c r="W223" s="89">
        <f>W224+W226+W229+W231</f>
        <v>5193.847</v>
      </c>
    </row>
    <row r="224" spans="1:23" ht="25.5">
      <c r="A224" s="91" t="s">
        <v>454</v>
      </c>
      <c r="B224" s="76" t="s">
        <v>62</v>
      </c>
      <c r="C224" s="76" t="s">
        <v>50</v>
      </c>
      <c r="D224" s="76" t="s">
        <v>102</v>
      </c>
      <c r="E224" s="76" t="s">
        <v>455</v>
      </c>
      <c r="F224" s="76"/>
      <c r="G224" s="23">
        <f>G225</f>
        <v>2007.6</v>
      </c>
      <c r="H224" s="23">
        <f>H225</f>
        <v>0</v>
      </c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80">
        <f>W225</f>
        <v>2007.6</v>
      </c>
    </row>
    <row r="225" spans="1:23" ht="25.5">
      <c r="A225" s="75" t="s">
        <v>298</v>
      </c>
      <c r="B225" s="76" t="s">
        <v>62</v>
      </c>
      <c r="C225" s="76" t="s">
        <v>50</v>
      </c>
      <c r="D225" s="76" t="s">
        <v>102</v>
      </c>
      <c r="E225" s="76" t="s">
        <v>455</v>
      </c>
      <c r="F225" s="76" t="s">
        <v>299</v>
      </c>
      <c r="G225" s="23">
        <f>2007600/1000</f>
        <v>2007.6</v>
      </c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8">
        <f>G225+H225</f>
        <v>2007.6</v>
      </c>
    </row>
    <row r="226" spans="1:23" ht="12.75">
      <c r="A226" s="75" t="s">
        <v>456</v>
      </c>
      <c r="B226" s="76" t="s">
        <v>62</v>
      </c>
      <c r="C226" s="76" t="s">
        <v>50</v>
      </c>
      <c r="D226" s="76" t="s">
        <v>102</v>
      </c>
      <c r="E226" s="76" t="s">
        <v>457</v>
      </c>
      <c r="F226" s="76"/>
      <c r="G226" s="23">
        <f>G227</f>
        <v>1220.6</v>
      </c>
      <c r="H226" s="23">
        <f>H227</f>
        <v>0</v>
      </c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80">
        <f>W227</f>
        <v>1220.6</v>
      </c>
    </row>
    <row r="227" spans="1:23" ht="25.5">
      <c r="A227" s="75" t="s">
        <v>296</v>
      </c>
      <c r="B227" s="76" t="s">
        <v>62</v>
      </c>
      <c r="C227" s="76" t="s">
        <v>50</v>
      </c>
      <c r="D227" s="76" t="s">
        <v>102</v>
      </c>
      <c r="E227" s="76" t="s">
        <v>458</v>
      </c>
      <c r="F227" s="76"/>
      <c r="G227" s="23">
        <f>G228</f>
        <v>1220.6</v>
      </c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8">
        <f>G227+H227</f>
        <v>1220.6</v>
      </c>
    </row>
    <row r="228" spans="1:23" ht="25.5">
      <c r="A228" s="75" t="s">
        <v>298</v>
      </c>
      <c r="B228" s="76" t="s">
        <v>62</v>
      </c>
      <c r="C228" s="76" t="s">
        <v>50</v>
      </c>
      <c r="D228" s="76" t="s">
        <v>102</v>
      </c>
      <c r="E228" s="76" t="s">
        <v>458</v>
      </c>
      <c r="F228" s="76" t="s">
        <v>299</v>
      </c>
      <c r="G228" s="23">
        <f>1220600/1000</f>
        <v>1220.6</v>
      </c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8">
        <f>G228+H228</f>
        <v>1220.6</v>
      </c>
    </row>
    <row r="229" spans="1:23" ht="50.25" customHeight="1">
      <c r="A229" s="75" t="s">
        <v>459</v>
      </c>
      <c r="B229" s="76" t="s">
        <v>62</v>
      </c>
      <c r="C229" s="76" t="s">
        <v>50</v>
      </c>
      <c r="D229" s="76" t="s">
        <v>102</v>
      </c>
      <c r="E229" s="76" t="s">
        <v>460</v>
      </c>
      <c r="F229" s="76"/>
      <c r="G229" s="23">
        <f>G230</f>
        <v>1716.77</v>
      </c>
      <c r="H229" s="23">
        <f aca="true" t="shared" si="50" ref="H229:U229">H230</f>
        <v>0</v>
      </c>
      <c r="I229" s="23">
        <f t="shared" si="50"/>
        <v>0</v>
      </c>
      <c r="J229" s="23">
        <f t="shared" si="50"/>
        <v>0</v>
      </c>
      <c r="K229" s="23">
        <f t="shared" si="50"/>
        <v>0</v>
      </c>
      <c r="L229" s="23">
        <f t="shared" si="50"/>
        <v>0</v>
      </c>
      <c r="M229" s="23">
        <f t="shared" si="50"/>
        <v>0</v>
      </c>
      <c r="N229" s="23">
        <f t="shared" si="50"/>
        <v>0</v>
      </c>
      <c r="O229" s="23">
        <f t="shared" si="50"/>
        <v>0</v>
      </c>
      <c r="P229" s="23">
        <f t="shared" si="50"/>
        <v>0</v>
      </c>
      <c r="Q229" s="23">
        <f t="shared" si="50"/>
        <v>0</v>
      </c>
      <c r="R229" s="23">
        <f t="shared" si="50"/>
        <v>0</v>
      </c>
      <c r="S229" s="23">
        <f t="shared" si="50"/>
        <v>0</v>
      </c>
      <c r="T229" s="23">
        <f t="shared" si="50"/>
        <v>0</v>
      </c>
      <c r="U229" s="23">
        <f t="shared" si="50"/>
        <v>-51.123</v>
      </c>
      <c r="V229" s="23"/>
      <c r="W229" s="80">
        <f>W230</f>
        <v>1665.647</v>
      </c>
    </row>
    <row r="230" spans="1:23" ht="25.5">
      <c r="A230" s="75" t="s">
        <v>298</v>
      </c>
      <c r="B230" s="76" t="s">
        <v>62</v>
      </c>
      <c r="C230" s="76" t="s">
        <v>50</v>
      </c>
      <c r="D230" s="76" t="s">
        <v>102</v>
      </c>
      <c r="E230" s="76" t="s">
        <v>460</v>
      </c>
      <c r="F230" s="76" t="s">
        <v>299</v>
      </c>
      <c r="G230" s="23">
        <f>1716770/1000</f>
        <v>1716.77</v>
      </c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>
        <v>-51.123</v>
      </c>
      <c r="V230" s="77"/>
      <c r="W230" s="78">
        <f>G230+H230+U230</f>
        <v>1665.647</v>
      </c>
    </row>
    <row r="231" spans="1:23" ht="25.5">
      <c r="A231" s="86" t="s">
        <v>461</v>
      </c>
      <c r="B231" s="76" t="s">
        <v>62</v>
      </c>
      <c r="C231" s="76" t="s">
        <v>50</v>
      </c>
      <c r="D231" s="76" t="s">
        <v>102</v>
      </c>
      <c r="E231" s="76" t="s">
        <v>462</v>
      </c>
      <c r="F231" s="76"/>
      <c r="G231" s="23"/>
      <c r="H231" s="77"/>
      <c r="I231" s="77">
        <f>I232</f>
        <v>300</v>
      </c>
      <c r="J231" s="77">
        <f>J232</f>
        <v>0</v>
      </c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8">
        <f>W232</f>
        <v>300</v>
      </c>
    </row>
    <row r="232" spans="1:23" ht="12.75">
      <c r="A232" s="75" t="s">
        <v>463</v>
      </c>
      <c r="B232" s="76" t="s">
        <v>62</v>
      </c>
      <c r="C232" s="76" t="s">
        <v>50</v>
      </c>
      <c r="D232" s="76" t="s">
        <v>102</v>
      </c>
      <c r="E232" s="76" t="s">
        <v>462</v>
      </c>
      <c r="F232" s="76" t="s">
        <v>464</v>
      </c>
      <c r="G232" s="23"/>
      <c r="H232" s="77"/>
      <c r="I232" s="77">
        <v>300</v>
      </c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8">
        <f>I232</f>
        <v>300</v>
      </c>
    </row>
    <row r="233" spans="1:23" ht="12.75">
      <c r="A233" s="109" t="s">
        <v>465</v>
      </c>
      <c r="B233" s="74"/>
      <c r="C233" s="74" t="s">
        <v>50</v>
      </c>
      <c r="D233" s="74" t="s">
        <v>275</v>
      </c>
      <c r="E233" s="74"/>
      <c r="F233" s="74"/>
      <c r="G233" s="20">
        <f aca="true" t="shared" si="51" ref="G233:W233">G234+G237</f>
        <v>37251.729999999996</v>
      </c>
      <c r="H233" s="20">
        <f t="shared" si="51"/>
        <v>685.5</v>
      </c>
      <c r="I233" s="20">
        <f t="shared" si="51"/>
        <v>0</v>
      </c>
      <c r="J233" s="20">
        <f t="shared" si="51"/>
        <v>0</v>
      </c>
      <c r="K233" s="20">
        <f t="shared" si="51"/>
        <v>0</v>
      </c>
      <c r="L233" s="20">
        <f t="shared" si="51"/>
        <v>0</v>
      </c>
      <c r="M233" s="20">
        <f t="shared" si="51"/>
        <v>0</v>
      </c>
      <c r="N233" s="20">
        <f t="shared" si="51"/>
        <v>0</v>
      </c>
      <c r="O233" s="20">
        <f t="shared" si="51"/>
        <v>0</v>
      </c>
      <c r="P233" s="20">
        <f t="shared" si="51"/>
        <v>0</v>
      </c>
      <c r="Q233" s="20">
        <f t="shared" si="51"/>
        <v>0</v>
      </c>
      <c r="R233" s="20">
        <f t="shared" si="51"/>
        <v>0</v>
      </c>
      <c r="S233" s="20">
        <f t="shared" si="51"/>
        <v>0</v>
      </c>
      <c r="T233" s="20">
        <f t="shared" si="51"/>
        <v>323.6</v>
      </c>
      <c r="U233" s="20">
        <f t="shared" si="51"/>
        <v>135.4</v>
      </c>
      <c r="V233" s="20"/>
      <c r="W233" s="46">
        <f t="shared" si="51"/>
        <v>38396.229999999996</v>
      </c>
    </row>
    <row r="234" spans="1:23" ht="25.5">
      <c r="A234" s="91" t="s">
        <v>440</v>
      </c>
      <c r="B234" s="76" t="s">
        <v>62</v>
      </c>
      <c r="C234" s="76" t="s">
        <v>50</v>
      </c>
      <c r="D234" s="76" t="s">
        <v>275</v>
      </c>
      <c r="E234" s="76" t="s">
        <v>441</v>
      </c>
      <c r="F234" s="76"/>
      <c r="G234" s="23">
        <f>G235</f>
        <v>30134.5</v>
      </c>
      <c r="H234" s="23">
        <f aca="true" t="shared" si="52" ref="H234:U234">H235</f>
        <v>685.5</v>
      </c>
      <c r="I234" s="23">
        <f t="shared" si="52"/>
        <v>0</v>
      </c>
      <c r="J234" s="23">
        <f t="shared" si="52"/>
        <v>0</v>
      </c>
      <c r="K234" s="23">
        <f t="shared" si="52"/>
        <v>0</v>
      </c>
      <c r="L234" s="23">
        <f t="shared" si="52"/>
        <v>0</v>
      </c>
      <c r="M234" s="23">
        <f t="shared" si="52"/>
        <v>0</v>
      </c>
      <c r="N234" s="23">
        <f t="shared" si="52"/>
        <v>0</v>
      </c>
      <c r="O234" s="23">
        <f t="shared" si="52"/>
        <v>0</v>
      </c>
      <c r="P234" s="23">
        <f t="shared" si="52"/>
        <v>0</v>
      </c>
      <c r="Q234" s="23">
        <f t="shared" si="52"/>
        <v>0</v>
      </c>
      <c r="R234" s="23">
        <f t="shared" si="52"/>
        <v>0</v>
      </c>
      <c r="S234" s="23">
        <f t="shared" si="52"/>
        <v>0</v>
      </c>
      <c r="T234" s="23">
        <f t="shared" si="52"/>
        <v>323.6</v>
      </c>
      <c r="U234" s="23">
        <f t="shared" si="52"/>
        <v>135.4</v>
      </c>
      <c r="V234" s="23"/>
      <c r="W234" s="80">
        <f>W235</f>
        <v>31279</v>
      </c>
    </row>
    <row r="235" spans="1:23" ht="25.5">
      <c r="A235" s="91" t="s">
        <v>296</v>
      </c>
      <c r="B235" s="76" t="s">
        <v>62</v>
      </c>
      <c r="C235" s="76" t="s">
        <v>50</v>
      </c>
      <c r="D235" s="76" t="s">
        <v>275</v>
      </c>
      <c r="E235" s="76" t="s">
        <v>442</v>
      </c>
      <c r="F235" s="76"/>
      <c r="G235" s="23">
        <f>G236</f>
        <v>30134.5</v>
      </c>
      <c r="H235" s="23">
        <f aca="true" t="shared" si="53" ref="H235:U235">H236</f>
        <v>685.5</v>
      </c>
      <c r="I235" s="23">
        <f t="shared" si="53"/>
        <v>0</v>
      </c>
      <c r="J235" s="23">
        <f t="shared" si="53"/>
        <v>0</v>
      </c>
      <c r="K235" s="23">
        <f t="shared" si="53"/>
        <v>0</v>
      </c>
      <c r="L235" s="23">
        <f t="shared" si="53"/>
        <v>0</v>
      </c>
      <c r="M235" s="23">
        <f t="shared" si="53"/>
        <v>0</v>
      </c>
      <c r="N235" s="23">
        <f t="shared" si="53"/>
        <v>0</v>
      </c>
      <c r="O235" s="23">
        <f t="shared" si="53"/>
        <v>0</v>
      </c>
      <c r="P235" s="23">
        <f t="shared" si="53"/>
        <v>0</v>
      </c>
      <c r="Q235" s="23">
        <f t="shared" si="53"/>
        <v>0</v>
      </c>
      <c r="R235" s="23">
        <f t="shared" si="53"/>
        <v>0</v>
      </c>
      <c r="S235" s="23">
        <f t="shared" si="53"/>
        <v>0</v>
      </c>
      <c r="T235" s="23">
        <f t="shared" si="53"/>
        <v>323.6</v>
      </c>
      <c r="U235" s="23">
        <f t="shared" si="53"/>
        <v>135.4</v>
      </c>
      <c r="V235" s="23"/>
      <c r="W235" s="80">
        <f>W236</f>
        <v>31279</v>
      </c>
    </row>
    <row r="236" spans="1:23" ht="25.5">
      <c r="A236" s="91" t="s">
        <v>298</v>
      </c>
      <c r="B236" s="76" t="s">
        <v>62</v>
      </c>
      <c r="C236" s="76" t="s">
        <v>50</v>
      </c>
      <c r="D236" s="76" t="s">
        <v>275</v>
      </c>
      <c r="E236" s="76" t="s">
        <v>442</v>
      </c>
      <c r="F236" s="76" t="s">
        <v>299</v>
      </c>
      <c r="G236" s="23">
        <f>30134500/1000</f>
        <v>30134.5</v>
      </c>
      <c r="H236" s="77">
        <f>(90000+595500)/1000</f>
        <v>685.5</v>
      </c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>
        <v>323.6</v>
      </c>
      <c r="U236" s="77">
        <v>135.4</v>
      </c>
      <c r="V236" s="77"/>
      <c r="W236" s="78">
        <f>G236+H236+T236+U236</f>
        <v>31279</v>
      </c>
    </row>
    <row r="237" spans="1:23" ht="51" customHeight="1">
      <c r="A237" s="75" t="s">
        <v>459</v>
      </c>
      <c r="B237" s="76" t="s">
        <v>62</v>
      </c>
      <c r="C237" s="76" t="s">
        <v>50</v>
      </c>
      <c r="D237" s="76" t="s">
        <v>275</v>
      </c>
      <c r="E237" s="76" t="s">
        <v>460</v>
      </c>
      <c r="F237" s="76"/>
      <c r="G237" s="23">
        <f>G238</f>
        <v>7117.23</v>
      </c>
      <c r="H237" s="23">
        <f>H238</f>
        <v>0</v>
      </c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80">
        <f>W238</f>
        <v>7117.23</v>
      </c>
    </row>
    <row r="238" spans="1:23" ht="25.5">
      <c r="A238" s="75" t="s">
        <v>298</v>
      </c>
      <c r="B238" s="76" t="s">
        <v>62</v>
      </c>
      <c r="C238" s="76" t="s">
        <v>50</v>
      </c>
      <c r="D238" s="76" t="s">
        <v>275</v>
      </c>
      <c r="E238" s="76" t="s">
        <v>460</v>
      </c>
      <c r="F238" s="76" t="s">
        <v>299</v>
      </c>
      <c r="G238" s="23">
        <f>7117230/1000</f>
        <v>7117.23</v>
      </c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8">
        <f>G238+H238</f>
        <v>7117.23</v>
      </c>
    </row>
    <row r="239" spans="1:23" ht="12.75">
      <c r="A239" s="73" t="s">
        <v>466</v>
      </c>
      <c r="B239" s="74"/>
      <c r="C239" s="74" t="s">
        <v>50</v>
      </c>
      <c r="D239" s="74" t="s">
        <v>330</v>
      </c>
      <c r="E239" s="74"/>
      <c r="F239" s="74"/>
      <c r="G239" s="20">
        <f>G240</f>
        <v>2000</v>
      </c>
      <c r="H239" s="20">
        <f>H240</f>
        <v>500</v>
      </c>
      <c r="I239" s="20">
        <f>I240</f>
        <v>0</v>
      </c>
      <c r="J239" s="20">
        <f>J240</f>
        <v>0</v>
      </c>
      <c r="K239" s="20">
        <f>K240+K242</f>
        <v>0</v>
      </c>
      <c r="L239" s="20">
        <f>L240+L242</f>
        <v>0</v>
      </c>
      <c r="M239" s="20">
        <f>M242</f>
        <v>463.8</v>
      </c>
      <c r="N239" s="20"/>
      <c r="O239" s="20"/>
      <c r="P239" s="20"/>
      <c r="Q239" s="20"/>
      <c r="R239" s="20"/>
      <c r="S239" s="20"/>
      <c r="T239" s="20"/>
      <c r="U239" s="20"/>
      <c r="V239" s="20"/>
      <c r="W239" s="46">
        <f>W240+W242</f>
        <v>2963.8</v>
      </c>
    </row>
    <row r="240" spans="1:23" ht="25.5">
      <c r="A240" s="75" t="s">
        <v>467</v>
      </c>
      <c r="B240" s="76" t="s">
        <v>62</v>
      </c>
      <c r="C240" s="76" t="s">
        <v>50</v>
      </c>
      <c r="D240" s="76" t="s">
        <v>330</v>
      </c>
      <c r="E240" s="76" t="s">
        <v>468</v>
      </c>
      <c r="F240" s="76"/>
      <c r="G240" s="23">
        <f>G241</f>
        <v>2000</v>
      </c>
      <c r="H240" s="23">
        <f>H241</f>
        <v>500</v>
      </c>
      <c r="I240" s="23"/>
      <c r="J240" s="23"/>
      <c r="K240" s="23"/>
      <c r="L240" s="23">
        <f>L241</f>
        <v>-500</v>
      </c>
      <c r="M240" s="23">
        <f>M241</f>
        <v>0</v>
      </c>
      <c r="N240" s="23"/>
      <c r="O240" s="23"/>
      <c r="P240" s="23"/>
      <c r="Q240" s="23"/>
      <c r="R240" s="23"/>
      <c r="S240" s="23"/>
      <c r="T240" s="23"/>
      <c r="U240" s="23"/>
      <c r="V240" s="23"/>
      <c r="W240" s="80">
        <f>W241</f>
        <v>2000</v>
      </c>
    </row>
    <row r="241" spans="1:23" ht="25.5">
      <c r="A241" s="75" t="s">
        <v>266</v>
      </c>
      <c r="B241" s="76" t="s">
        <v>62</v>
      </c>
      <c r="C241" s="76" t="s">
        <v>50</v>
      </c>
      <c r="D241" s="76" t="s">
        <v>330</v>
      </c>
      <c r="E241" s="76" t="s">
        <v>468</v>
      </c>
      <c r="F241" s="76" t="s">
        <v>273</v>
      </c>
      <c r="G241" s="23">
        <f>2000000/1000</f>
        <v>2000</v>
      </c>
      <c r="H241" s="77">
        <f>500000/1000</f>
        <v>500</v>
      </c>
      <c r="I241" s="77"/>
      <c r="J241" s="77"/>
      <c r="K241" s="77"/>
      <c r="L241" s="77">
        <v>-500</v>
      </c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8">
        <f>G241+H241+L241+M241</f>
        <v>2000</v>
      </c>
    </row>
    <row r="242" spans="1:23" ht="25.5">
      <c r="A242" s="91" t="s">
        <v>311</v>
      </c>
      <c r="B242" s="76" t="s">
        <v>62</v>
      </c>
      <c r="C242" s="76" t="s">
        <v>50</v>
      </c>
      <c r="D242" s="76" t="s">
        <v>330</v>
      </c>
      <c r="E242" s="76" t="s">
        <v>413</v>
      </c>
      <c r="F242" s="76"/>
      <c r="G242" s="23">
        <f aca="true" t="shared" si="54" ref="G242:M242">G243</f>
        <v>0</v>
      </c>
      <c r="H242" s="23">
        <f t="shared" si="54"/>
        <v>0</v>
      </c>
      <c r="I242" s="23">
        <f t="shared" si="54"/>
        <v>0</v>
      </c>
      <c r="J242" s="23">
        <f t="shared" si="54"/>
        <v>0</v>
      </c>
      <c r="K242" s="23">
        <f t="shared" si="54"/>
        <v>0</v>
      </c>
      <c r="L242" s="23">
        <f t="shared" si="54"/>
        <v>500</v>
      </c>
      <c r="M242" s="23">
        <f t="shared" si="54"/>
        <v>463.8</v>
      </c>
      <c r="N242" s="23"/>
      <c r="O242" s="23"/>
      <c r="P242" s="23"/>
      <c r="Q242" s="23"/>
      <c r="R242" s="23"/>
      <c r="S242" s="23"/>
      <c r="T242" s="23"/>
      <c r="U242" s="23"/>
      <c r="V242" s="23"/>
      <c r="W242" s="80">
        <f>W243</f>
        <v>963.8</v>
      </c>
    </row>
    <row r="243" spans="1:23" ht="25.5">
      <c r="A243" s="75" t="s">
        <v>266</v>
      </c>
      <c r="B243" s="76" t="s">
        <v>62</v>
      </c>
      <c r="C243" s="76" t="s">
        <v>50</v>
      </c>
      <c r="D243" s="76" t="s">
        <v>330</v>
      </c>
      <c r="E243" s="76" t="s">
        <v>413</v>
      </c>
      <c r="F243" s="76" t="s">
        <v>273</v>
      </c>
      <c r="G243" s="23"/>
      <c r="H243" s="77"/>
      <c r="I243" s="77"/>
      <c r="J243" s="77"/>
      <c r="K243" s="77"/>
      <c r="L243" s="77">
        <v>500</v>
      </c>
      <c r="M243" s="77">
        <v>463.8</v>
      </c>
      <c r="N243" s="77"/>
      <c r="O243" s="77"/>
      <c r="P243" s="77"/>
      <c r="Q243" s="77"/>
      <c r="R243" s="77"/>
      <c r="S243" s="77"/>
      <c r="T243" s="77"/>
      <c r="U243" s="77"/>
      <c r="V243" s="77"/>
      <c r="W243" s="78">
        <f>L243+M243</f>
        <v>963.8</v>
      </c>
    </row>
    <row r="244" spans="1:23" ht="25.5">
      <c r="A244" s="73" t="s">
        <v>469</v>
      </c>
      <c r="B244" s="74"/>
      <c r="C244" s="74" t="s">
        <v>50</v>
      </c>
      <c r="D244" s="74">
        <v>10</v>
      </c>
      <c r="E244" s="74"/>
      <c r="F244" s="74"/>
      <c r="G244" s="20">
        <f>G248</f>
        <v>3160</v>
      </c>
      <c r="H244" s="20">
        <f>H248</f>
        <v>0</v>
      </c>
      <c r="I244" s="20">
        <f>I248</f>
        <v>0</v>
      </c>
      <c r="J244" s="20">
        <f>J248</f>
        <v>-3160</v>
      </c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46">
        <f>W248</f>
        <v>0</v>
      </c>
    </row>
    <row r="245" spans="1:23" ht="76.5">
      <c r="A245" s="75" t="s">
        <v>418</v>
      </c>
      <c r="B245" s="76" t="s">
        <v>62</v>
      </c>
      <c r="C245" s="76" t="s">
        <v>50</v>
      </c>
      <c r="D245" s="76">
        <v>10</v>
      </c>
      <c r="E245" s="76" t="s">
        <v>419</v>
      </c>
      <c r="F245" s="76"/>
      <c r="G245" s="23">
        <v>0</v>
      </c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8"/>
    </row>
    <row r="246" spans="1:23" ht="25.5">
      <c r="A246" s="75" t="s">
        <v>296</v>
      </c>
      <c r="B246" s="76" t="s">
        <v>62</v>
      </c>
      <c r="C246" s="76" t="s">
        <v>50</v>
      </c>
      <c r="D246" s="76">
        <v>10</v>
      </c>
      <c r="E246" s="76" t="s">
        <v>420</v>
      </c>
      <c r="F246" s="76"/>
      <c r="G246" s="23">
        <v>0</v>
      </c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8"/>
    </row>
    <row r="247" spans="1:23" ht="25.5">
      <c r="A247" s="75" t="s">
        <v>298</v>
      </c>
      <c r="B247" s="76" t="s">
        <v>62</v>
      </c>
      <c r="C247" s="76" t="s">
        <v>50</v>
      </c>
      <c r="D247" s="76">
        <v>10</v>
      </c>
      <c r="E247" s="76" t="s">
        <v>420</v>
      </c>
      <c r="F247" s="76" t="s">
        <v>299</v>
      </c>
      <c r="G247" s="23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8"/>
    </row>
    <row r="248" spans="1:23" ht="51">
      <c r="A248" s="75" t="s">
        <v>470</v>
      </c>
      <c r="B248" s="76" t="s">
        <v>62</v>
      </c>
      <c r="C248" s="76" t="s">
        <v>50</v>
      </c>
      <c r="D248" s="76">
        <v>10</v>
      </c>
      <c r="E248" s="70" t="s">
        <v>471</v>
      </c>
      <c r="F248" s="76"/>
      <c r="G248" s="23">
        <f>G249</f>
        <v>3160</v>
      </c>
      <c r="H248" s="23">
        <f>H249</f>
        <v>0</v>
      </c>
      <c r="I248" s="23"/>
      <c r="J248" s="23">
        <f>J249</f>
        <v>-3160</v>
      </c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80">
        <f>W249</f>
        <v>0</v>
      </c>
    </row>
    <row r="249" spans="1:23" ht="25.5">
      <c r="A249" s="75" t="s">
        <v>266</v>
      </c>
      <c r="B249" s="76" t="s">
        <v>62</v>
      </c>
      <c r="C249" s="76" t="s">
        <v>50</v>
      </c>
      <c r="D249" s="76">
        <v>10</v>
      </c>
      <c r="E249" s="70" t="s">
        <v>471</v>
      </c>
      <c r="F249" s="76" t="s">
        <v>273</v>
      </c>
      <c r="G249" s="23">
        <f>3160000/1000</f>
        <v>3160</v>
      </c>
      <c r="H249" s="77"/>
      <c r="I249" s="77"/>
      <c r="J249" s="77">
        <v>-3160</v>
      </c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8">
        <f>G249+H249+J249</f>
        <v>0</v>
      </c>
    </row>
    <row r="250" spans="1:23" ht="12.75">
      <c r="A250" s="73" t="s">
        <v>472</v>
      </c>
      <c r="B250" s="74"/>
      <c r="C250" s="74">
        <v>10</v>
      </c>
      <c r="D250" s="74"/>
      <c r="E250" s="74"/>
      <c r="F250" s="74"/>
      <c r="G250" s="20">
        <f aca="true" t="shared" si="55" ref="G250:U250">G251+G254+G267+G283</f>
        <v>62416.9</v>
      </c>
      <c r="H250" s="20">
        <f t="shared" si="55"/>
        <v>0</v>
      </c>
      <c r="I250" s="20">
        <f t="shared" si="55"/>
        <v>0</v>
      </c>
      <c r="J250" s="20">
        <f t="shared" si="55"/>
        <v>24723</v>
      </c>
      <c r="K250" s="20">
        <f t="shared" si="55"/>
        <v>988</v>
      </c>
      <c r="L250" s="20">
        <f t="shared" si="55"/>
        <v>0</v>
      </c>
      <c r="M250" s="20">
        <f t="shared" si="55"/>
        <v>359</v>
      </c>
      <c r="N250" s="20">
        <f t="shared" si="55"/>
        <v>0</v>
      </c>
      <c r="O250" s="20">
        <f t="shared" si="55"/>
        <v>-29</v>
      </c>
      <c r="P250" s="20">
        <f t="shared" si="55"/>
        <v>0</v>
      </c>
      <c r="Q250" s="20">
        <f t="shared" si="55"/>
        <v>-2132</v>
      </c>
      <c r="R250" s="20">
        <f t="shared" si="55"/>
        <v>0</v>
      </c>
      <c r="S250" s="20">
        <f t="shared" si="55"/>
        <v>0</v>
      </c>
      <c r="T250" s="20">
        <f t="shared" si="55"/>
        <v>0</v>
      </c>
      <c r="U250" s="20">
        <f t="shared" si="55"/>
        <v>8628.26</v>
      </c>
      <c r="V250" s="20"/>
      <c r="W250" s="46">
        <f>W251+W254+W267+W283</f>
        <v>94954.16</v>
      </c>
    </row>
    <row r="251" spans="1:23" ht="12.75">
      <c r="A251" s="73" t="s">
        <v>473</v>
      </c>
      <c r="B251" s="74"/>
      <c r="C251" s="74">
        <v>10</v>
      </c>
      <c r="D251" s="74" t="s">
        <v>91</v>
      </c>
      <c r="E251" s="74"/>
      <c r="F251" s="74"/>
      <c r="G251" s="20">
        <f>G252</f>
        <v>279.9</v>
      </c>
      <c r="H251" s="20">
        <f>H252</f>
        <v>0</v>
      </c>
      <c r="I251" s="20">
        <f>I252</f>
        <v>0</v>
      </c>
      <c r="J251" s="20">
        <f>J252</f>
        <v>0</v>
      </c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46">
        <f>W252</f>
        <v>279.9</v>
      </c>
    </row>
    <row r="252" spans="1:23" ht="51">
      <c r="A252" s="75" t="s">
        <v>474</v>
      </c>
      <c r="B252" s="76" t="s">
        <v>62</v>
      </c>
      <c r="C252" s="70">
        <v>10</v>
      </c>
      <c r="D252" s="76" t="s">
        <v>91</v>
      </c>
      <c r="E252" s="70" t="s">
        <v>475</v>
      </c>
      <c r="F252" s="76"/>
      <c r="G252" s="23">
        <f>G253</f>
        <v>279.9</v>
      </c>
      <c r="H252" s="23">
        <f>H253</f>
        <v>0</v>
      </c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80">
        <f>W253</f>
        <v>279.9</v>
      </c>
    </row>
    <row r="253" spans="1:23" ht="12.75">
      <c r="A253" s="75" t="s">
        <v>476</v>
      </c>
      <c r="B253" s="76" t="s">
        <v>62</v>
      </c>
      <c r="C253" s="70">
        <v>10</v>
      </c>
      <c r="D253" s="76" t="s">
        <v>91</v>
      </c>
      <c r="E253" s="70" t="s">
        <v>475</v>
      </c>
      <c r="F253" s="76" t="s">
        <v>477</v>
      </c>
      <c r="G253" s="23">
        <f>279900/1000</f>
        <v>279.9</v>
      </c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8">
        <f>G253+H253</f>
        <v>279.9</v>
      </c>
    </row>
    <row r="254" spans="1:24" ht="12.75">
      <c r="A254" s="91" t="s">
        <v>478</v>
      </c>
      <c r="B254" s="76"/>
      <c r="C254" s="110">
        <v>10</v>
      </c>
      <c r="D254" s="74" t="s">
        <v>269</v>
      </c>
      <c r="E254" s="70"/>
      <c r="F254" s="76"/>
      <c r="G254" s="83">
        <f>G255+G257</f>
        <v>27017.1</v>
      </c>
      <c r="H254" s="83">
        <f aca="true" t="shared" si="56" ref="H254:T254">H255+H257</f>
        <v>0</v>
      </c>
      <c r="I254" s="83">
        <f t="shared" si="56"/>
        <v>0</v>
      </c>
      <c r="J254" s="83">
        <f>J255+J257+J259+J261+J263</f>
        <v>24723</v>
      </c>
      <c r="K254" s="83">
        <f t="shared" si="56"/>
        <v>0</v>
      </c>
      <c r="L254" s="83">
        <f t="shared" si="56"/>
        <v>0</v>
      </c>
      <c r="M254" s="83">
        <f t="shared" si="56"/>
        <v>0</v>
      </c>
      <c r="N254" s="83">
        <f t="shared" si="56"/>
        <v>0</v>
      </c>
      <c r="O254" s="83">
        <f t="shared" si="56"/>
        <v>0</v>
      </c>
      <c r="P254" s="83">
        <f t="shared" si="56"/>
        <v>0</v>
      </c>
      <c r="Q254" s="83">
        <f t="shared" si="56"/>
        <v>0</v>
      </c>
      <c r="R254" s="83">
        <f t="shared" si="56"/>
        <v>0</v>
      </c>
      <c r="S254" s="83">
        <f t="shared" si="56"/>
        <v>0</v>
      </c>
      <c r="T254" s="83">
        <f t="shared" si="56"/>
        <v>0</v>
      </c>
      <c r="U254" s="83">
        <f>U255+U257+U265</f>
        <v>5118</v>
      </c>
      <c r="V254" s="83"/>
      <c r="W254" s="85">
        <f>W255+W257+W259+W261+W263+W265</f>
        <v>56858.1</v>
      </c>
      <c r="X254" s="111"/>
    </row>
    <row r="255" spans="1:23" ht="38.25">
      <c r="A255" s="99" t="s">
        <v>479</v>
      </c>
      <c r="B255" s="76" t="s">
        <v>62</v>
      </c>
      <c r="C255" s="70">
        <v>10</v>
      </c>
      <c r="D255" s="76" t="s">
        <v>269</v>
      </c>
      <c r="E255" s="70">
        <v>5054800</v>
      </c>
      <c r="F255" s="76"/>
      <c r="G255" s="105">
        <f>G256</f>
        <v>26952</v>
      </c>
      <c r="H255" s="107">
        <f>H256</f>
        <v>0</v>
      </c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8">
        <f>W256</f>
        <v>26952</v>
      </c>
    </row>
    <row r="256" spans="1:23" ht="12.75">
      <c r="A256" s="75" t="s">
        <v>476</v>
      </c>
      <c r="B256" s="76" t="s">
        <v>62</v>
      </c>
      <c r="C256" s="70">
        <v>10</v>
      </c>
      <c r="D256" s="76" t="s">
        <v>269</v>
      </c>
      <c r="E256" s="70">
        <v>5054800</v>
      </c>
      <c r="F256" s="76" t="s">
        <v>477</v>
      </c>
      <c r="G256" s="105">
        <f>26952000/1000</f>
        <v>26952</v>
      </c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8">
        <f>G256+H256</f>
        <v>26952</v>
      </c>
    </row>
    <row r="257" spans="1:23" ht="12.75">
      <c r="A257" s="91" t="s">
        <v>480</v>
      </c>
      <c r="B257" s="76" t="s">
        <v>62</v>
      </c>
      <c r="C257" s="70">
        <v>10</v>
      </c>
      <c r="D257" s="76" t="s">
        <v>269</v>
      </c>
      <c r="E257" s="70">
        <v>5058690</v>
      </c>
      <c r="F257" s="76"/>
      <c r="G257" s="23">
        <f>G258</f>
        <v>65.1</v>
      </c>
      <c r="H257" s="23">
        <f>H258</f>
        <v>0</v>
      </c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80">
        <f>W258</f>
        <v>65.1</v>
      </c>
    </row>
    <row r="258" spans="1:23" ht="12.75">
      <c r="A258" s="75" t="s">
        <v>476</v>
      </c>
      <c r="B258" s="76" t="s">
        <v>62</v>
      </c>
      <c r="C258" s="70">
        <v>10</v>
      </c>
      <c r="D258" s="76" t="s">
        <v>269</v>
      </c>
      <c r="E258" s="70">
        <v>5058690</v>
      </c>
      <c r="F258" s="76" t="s">
        <v>477</v>
      </c>
      <c r="G258" s="23">
        <f>65100/1000</f>
        <v>65.1</v>
      </c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8">
        <f>G258+H258</f>
        <v>65.1</v>
      </c>
    </row>
    <row r="259" spans="1:23" ht="38.25">
      <c r="A259" s="75" t="s">
        <v>449</v>
      </c>
      <c r="B259" s="76" t="s">
        <v>62</v>
      </c>
      <c r="C259" s="76" t="s">
        <v>481</v>
      </c>
      <c r="D259" s="76" t="s">
        <v>269</v>
      </c>
      <c r="E259" s="70" t="s">
        <v>450</v>
      </c>
      <c r="F259" s="76"/>
      <c r="G259" s="23"/>
      <c r="H259" s="77"/>
      <c r="I259" s="77"/>
      <c r="J259" s="77">
        <f>J260</f>
        <v>9050</v>
      </c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8">
        <f>W260</f>
        <v>9050</v>
      </c>
    </row>
    <row r="260" spans="1:23" ht="25.5">
      <c r="A260" s="75" t="s">
        <v>266</v>
      </c>
      <c r="B260" s="76" t="s">
        <v>62</v>
      </c>
      <c r="C260" s="76" t="s">
        <v>481</v>
      </c>
      <c r="D260" s="76" t="s">
        <v>269</v>
      </c>
      <c r="E260" s="70" t="s">
        <v>450</v>
      </c>
      <c r="F260" s="70">
        <v>500</v>
      </c>
      <c r="G260" s="23"/>
      <c r="H260" s="77"/>
      <c r="I260" s="77"/>
      <c r="J260" s="77">
        <v>9050</v>
      </c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8">
        <f>J260</f>
        <v>9050</v>
      </c>
    </row>
    <row r="261" spans="1:23" ht="12.75">
      <c r="A261" s="75" t="s">
        <v>451</v>
      </c>
      <c r="B261" s="76" t="s">
        <v>62</v>
      </c>
      <c r="C261" s="76" t="s">
        <v>481</v>
      </c>
      <c r="D261" s="76" t="s">
        <v>269</v>
      </c>
      <c r="E261" s="70" t="s">
        <v>452</v>
      </c>
      <c r="F261" s="76"/>
      <c r="G261" s="23"/>
      <c r="H261" s="77"/>
      <c r="I261" s="77"/>
      <c r="J261" s="77">
        <f>J262</f>
        <v>12513</v>
      </c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8">
        <f>W262</f>
        <v>12513</v>
      </c>
    </row>
    <row r="262" spans="1:23" ht="25.5">
      <c r="A262" s="75" t="s">
        <v>266</v>
      </c>
      <c r="B262" s="76" t="s">
        <v>62</v>
      </c>
      <c r="C262" s="76" t="s">
        <v>481</v>
      </c>
      <c r="D262" s="76" t="s">
        <v>269</v>
      </c>
      <c r="E262" s="70" t="s">
        <v>452</v>
      </c>
      <c r="F262" s="70">
        <v>500</v>
      </c>
      <c r="G262" s="23"/>
      <c r="H262" s="77"/>
      <c r="I262" s="77"/>
      <c r="J262" s="77">
        <v>12513</v>
      </c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8">
        <f>J262</f>
        <v>12513</v>
      </c>
    </row>
    <row r="263" spans="1:23" ht="51">
      <c r="A263" s="75" t="s">
        <v>470</v>
      </c>
      <c r="B263" s="76" t="s">
        <v>62</v>
      </c>
      <c r="C263" s="76" t="s">
        <v>481</v>
      </c>
      <c r="D263" s="76" t="s">
        <v>269</v>
      </c>
      <c r="E263" s="70" t="s">
        <v>471</v>
      </c>
      <c r="F263" s="76"/>
      <c r="G263" s="23"/>
      <c r="H263" s="77"/>
      <c r="I263" s="77"/>
      <c r="J263" s="77">
        <f>J264</f>
        <v>3160</v>
      </c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8">
        <f>W264</f>
        <v>3160</v>
      </c>
    </row>
    <row r="264" spans="1:23" ht="25.5">
      <c r="A264" s="75" t="s">
        <v>266</v>
      </c>
      <c r="B264" s="76" t="s">
        <v>62</v>
      </c>
      <c r="C264" s="76" t="s">
        <v>481</v>
      </c>
      <c r="D264" s="76" t="s">
        <v>269</v>
      </c>
      <c r="E264" s="70" t="s">
        <v>471</v>
      </c>
      <c r="F264" s="76" t="s">
        <v>273</v>
      </c>
      <c r="G264" s="23"/>
      <c r="H264" s="77"/>
      <c r="I264" s="77"/>
      <c r="J264" s="77">
        <v>3160</v>
      </c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8">
        <f>J264</f>
        <v>3160</v>
      </c>
    </row>
    <row r="265" spans="1:23" ht="12.75">
      <c r="A265" s="75"/>
      <c r="B265" s="76" t="s">
        <v>62</v>
      </c>
      <c r="C265" s="76" t="s">
        <v>481</v>
      </c>
      <c r="D265" s="76" t="s">
        <v>269</v>
      </c>
      <c r="E265" s="70" t="s">
        <v>551</v>
      </c>
      <c r="F265" s="76"/>
      <c r="G265" s="23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>
        <f>U266</f>
        <v>5118</v>
      </c>
      <c r="V265" s="77"/>
      <c r="W265" s="78">
        <f>W266</f>
        <v>5118</v>
      </c>
    </row>
    <row r="266" spans="1:23" ht="12.75">
      <c r="A266" s="75" t="s">
        <v>476</v>
      </c>
      <c r="B266" s="76" t="s">
        <v>62</v>
      </c>
      <c r="C266" s="76" t="s">
        <v>481</v>
      </c>
      <c r="D266" s="76" t="s">
        <v>269</v>
      </c>
      <c r="E266" s="70" t="s">
        <v>551</v>
      </c>
      <c r="F266" s="76" t="s">
        <v>477</v>
      </c>
      <c r="G266" s="23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>
        <v>5118</v>
      </c>
      <c r="V266" s="77"/>
      <c r="W266" s="78">
        <f>U266</f>
        <v>5118</v>
      </c>
    </row>
    <row r="267" spans="1:23" ht="12.75">
      <c r="A267" s="73" t="s">
        <v>482</v>
      </c>
      <c r="B267" s="74"/>
      <c r="C267" s="74">
        <v>10</v>
      </c>
      <c r="D267" s="74" t="s">
        <v>275</v>
      </c>
      <c r="E267" s="74"/>
      <c r="F267" s="74"/>
      <c r="G267" s="20">
        <f>G268+G271+G276</f>
        <v>33365</v>
      </c>
      <c r="H267" s="20">
        <f aca="true" t="shared" si="57" ref="H267:T267">H268+H271+H276</f>
        <v>0</v>
      </c>
      <c r="I267" s="20">
        <f t="shared" si="57"/>
        <v>0</v>
      </c>
      <c r="J267" s="20">
        <f>J268+J271+J276</f>
        <v>963</v>
      </c>
      <c r="K267" s="20">
        <f t="shared" si="57"/>
        <v>988</v>
      </c>
      <c r="L267" s="20">
        <f t="shared" si="57"/>
        <v>0</v>
      </c>
      <c r="M267" s="130">
        <f t="shared" si="57"/>
        <v>359</v>
      </c>
      <c r="N267" s="20">
        <f t="shared" si="57"/>
        <v>0</v>
      </c>
      <c r="O267" s="20">
        <f t="shared" si="57"/>
        <v>0</v>
      </c>
      <c r="P267" s="20">
        <f t="shared" si="57"/>
        <v>0</v>
      </c>
      <c r="Q267" s="20">
        <f t="shared" si="57"/>
        <v>-2177</v>
      </c>
      <c r="R267" s="20">
        <f t="shared" si="57"/>
        <v>0</v>
      </c>
      <c r="S267" s="20">
        <f t="shared" si="57"/>
        <v>0</v>
      </c>
      <c r="T267" s="20">
        <f t="shared" si="57"/>
        <v>0</v>
      </c>
      <c r="U267" s="20">
        <f>U268+U271+U276</f>
        <v>3510.2599999999998</v>
      </c>
      <c r="V267" s="20"/>
      <c r="W267" s="46">
        <f>W268+W271+W276+W281</f>
        <v>37008.26</v>
      </c>
    </row>
    <row r="268" spans="1:23" ht="12.75">
      <c r="A268" s="75" t="s">
        <v>483</v>
      </c>
      <c r="B268" s="76" t="s">
        <v>62</v>
      </c>
      <c r="C268" s="76">
        <v>10</v>
      </c>
      <c r="D268" s="76" t="s">
        <v>275</v>
      </c>
      <c r="E268" s="76" t="s">
        <v>484</v>
      </c>
      <c r="F268" s="76"/>
      <c r="G268" s="23">
        <f>G269</f>
        <v>810</v>
      </c>
      <c r="H268" s="23">
        <f aca="true" t="shared" si="58" ref="H268:U268">H269</f>
        <v>0</v>
      </c>
      <c r="I268" s="23">
        <f t="shared" si="58"/>
        <v>0</v>
      </c>
      <c r="J268" s="23">
        <f t="shared" si="58"/>
        <v>0</v>
      </c>
      <c r="K268" s="23">
        <f t="shared" si="58"/>
        <v>0</v>
      </c>
      <c r="L268" s="23">
        <f t="shared" si="58"/>
        <v>0</v>
      </c>
      <c r="M268" s="23">
        <f t="shared" si="58"/>
        <v>0</v>
      </c>
      <c r="N268" s="23">
        <f t="shared" si="58"/>
        <v>0</v>
      </c>
      <c r="O268" s="23">
        <f t="shared" si="58"/>
        <v>0</v>
      </c>
      <c r="P268" s="23">
        <f t="shared" si="58"/>
        <v>0</v>
      </c>
      <c r="Q268" s="23">
        <f t="shared" si="58"/>
        <v>0</v>
      </c>
      <c r="R268" s="23">
        <f t="shared" si="58"/>
        <v>0</v>
      </c>
      <c r="S268" s="23">
        <f t="shared" si="58"/>
        <v>0</v>
      </c>
      <c r="T268" s="23">
        <f t="shared" si="58"/>
        <v>0</v>
      </c>
      <c r="U268" s="23">
        <f t="shared" si="58"/>
        <v>-135</v>
      </c>
      <c r="V268" s="23"/>
      <c r="W268" s="80">
        <f>W269</f>
        <v>675</v>
      </c>
    </row>
    <row r="269" spans="1:23" ht="38.25">
      <c r="A269" s="75" t="s">
        <v>485</v>
      </c>
      <c r="B269" s="76" t="s">
        <v>62</v>
      </c>
      <c r="C269" s="76">
        <v>10</v>
      </c>
      <c r="D269" s="76" t="s">
        <v>275</v>
      </c>
      <c r="E269" s="76" t="s">
        <v>486</v>
      </c>
      <c r="F269" s="76"/>
      <c r="G269" s="23">
        <f>G270</f>
        <v>810</v>
      </c>
      <c r="H269" s="23">
        <f aca="true" t="shared" si="59" ref="H269:U269">H270</f>
        <v>0</v>
      </c>
      <c r="I269" s="23">
        <f t="shared" si="59"/>
        <v>0</v>
      </c>
      <c r="J269" s="23">
        <f t="shared" si="59"/>
        <v>0</v>
      </c>
      <c r="K269" s="23">
        <f t="shared" si="59"/>
        <v>0</v>
      </c>
      <c r="L269" s="23">
        <f t="shared" si="59"/>
        <v>0</v>
      </c>
      <c r="M269" s="23">
        <f t="shared" si="59"/>
        <v>0</v>
      </c>
      <c r="N269" s="23">
        <f t="shared" si="59"/>
        <v>0</v>
      </c>
      <c r="O269" s="23">
        <f t="shared" si="59"/>
        <v>0</v>
      </c>
      <c r="P269" s="23">
        <f t="shared" si="59"/>
        <v>0</v>
      </c>
      <c r="Q269" s="23">
        <f t="shared" si="59"/>
        <v>0</v>
      </c>
      <c r="R269" s="23">
        <f t="shared" si="59"/>
        <v>0</v>
      </c>
      <c r="S269" s="23">
        <f t="shared" si="59"/>
        <v>0</v>
      </c>
      <c r="T269" s="23">
        <f t="shared" si="59"/>
        <v>0</v>
      </c>
      <c r="U269" s="23">
        <f t="shared" si="59"/>
        <v>-135</v>
      </c>
      <c r="V269" s="23"/>
      <c r="W269" s="80">
        <f>W270</f>
        <v>675</v>
      </c>
    </row>
    <row r="270" spans="1:23" ht="12.75">
      <c r="A270" s="75" t="s">
        <v>476</v>
      </c>
      <c r="B270" s="76" t="s">
        <v>62</v>
      </c>
      <c r="C270" s="76">
        <v>10</v>
      </c>
      <c r="D270" s="76" t="s">
        <v>275</v>
      </c>
      <c r="E270" s="76" t="s">
        <v>486</v>
      </c>
      <c r="F270" s="76" t="s">
        <v>477</v>
      </c>
      <c r="G270" s="23">
        <f>810000/1000</f>
        <v>810</v>
      </c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>
        <v>-135</v>
      </c>
      <c r="V270" s="77"/>
      <c r="W270" s="78">
        <f>G270+H270+U270</f>
        <v>675</v>
      </c>
    </row>
    <row r="271" spans="1:23" ht="25.5">
      <c r="A271" s="75" t="s">
        <v>374</v>
      </c>
      <c r="B271" s="76" t="s">
        <v>62</v>
      </c>
      <c r="C271" s="76">
        <v>10</v>
      </c>
      <c r="D271" s="76" t="s">
        <v>275</v>
      </c>
      <c r="E271" s="76" t="s">
        <v>375</v>
      </c>
      <c r="F271" s="76"/>
      <c r="G271" s="90">
        <f aca="true" t="shared" si="60" ref="G271:U271">G272+G274</f>
        <v>30764</v>
      </c>
      <c r="H271" s="90">
        <f t="shared" si="60"/>
        <v>0</v>
      </c>
      <c r="I271" s="90">
        <f t="shared" si="60"/>
        <v>0</v>
      </c>
      <c r="J271" s="90">
        <f t="shared" si="60"/>
        <v>0</v>
      </c>
      <c r="K271" s="90">
        <f t="shared" si="60"/>
        <v>988</v>
      </c>
      <c r="L271" s="90">
        <f t="shared" si="60"/>
        <v>0</v>
      </c>
      <c r="M271" s="90">
        <f t="shared" si="60"/>
        <v>0</v>
      </c>
      <c r="N271" s="90">
        <f t="shared" si="60"/>
        <v>0</v>
      </c>
      <c r="O271" s="90">
        <f t="shared" si="60"/>
        <v>0</v>
      </c>
      <c r="P271" s="90">
        <f t="shared" si="60"/>
        <v>0</v>
      </c>
      <c r="Q271" s="90">
        <f t="shared" si="60"/>
        <v>-2177</v>
      </c>
      <c r="R271" s="90">
        <f t="shared" si="60"/>
        <v>0</v>
      </c>
      <c r="S271" s="90">
        <f t="shared" si="60"/>
        <v>0</v>
      </c>
      <c r="T271" s="90">
        <f t="shared" si="60"/>
        <v>0</v>
      </c>
      <c r="U271" s="90">
        <f t="shared" si="60"/>
        <v>3735.2599999999998</v>
      </c>
      <c r="V271" s="90"/>
      <c r="W271" s="103">
        <f>W272+W274</f>
        <v>33310.26</v>
      </c>
    </row>
    <row r="272" spans="1:23" ht="76.5">
      <c r="A272" s="75" t="s">
        <v>487</v>
      </c>
      <c r="B272" s="76" t="s">
        <v>62</v>
      </c>
      <c r="C272" s="76">
        <v>10</v>
      </c>
      <c r="D272" s="76" t="s">
        <v>275</v>
      </c>
      <c r="E272" s="76" t="s">
        <v>488</v>
      </c>
      <c r="F272" s="76"/>
      <c r="G272" s="23">
        <f>G273</f>
        <v>5633</v>
      </c>
      <c r="H272" s="23">
        <f>H273</f>
        <v>0</v>
      </c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>
        <f>4469.7</f>
        <v>4469.7</v>
      </c>
      <c r="V272" s="23"/>
      <c r="W272" s="80">
        <f>W273</f>
        <v>10102.7</v>
      </c>
    </row>
    <row r="273" spans="1:23" ht="12.75">
      <c r="A273" s="75" t="s">
        <v>476</v>
      </c>
      <c r="B273" s="76" t="s">
        <v>62</v>
      </c>
      <c r="C273" s="76">
        <v>10</v>
      </c>
      <c r="D273" s="76" t="s">
        <v>275</v>
      </c>
      <c r="E273" s="76" t="s">
        <v>488</v>
      </c>
      <c r="F273" s="76" t="s">
        <v>477</v>
      </c>
      <c r="G273" s="23">
        <f>5633000/1000</f>
        <v>5633</v>
      </c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>
        <v>4469.7</v>
      </c>
      <c r="V273" s="77"/>
      <c r="W273" s="78">
        <f>G273+H273+U273</f>
        <v>10102.7</v>
      </c>
    </row>
    <row r="274" spans="1:23" ht="25.5">
      <c r="A274" s="75" t="s">
        <v>489</v>
      </c>
      <c r="B274" s="76" t="s">
        <v>62</v>
      </c>
      <c r="C274" s="76">
        <v>10</v>
      </c>
      <c r="D274" s="76" t="s">
        <v>275</v>
      </c>
      <c r="E274" s="76" t="s">
        <v>490</v>
      </c>
      <c r="F274" s="76"/>
      <c r="G274" s="23">
        <f aca="true" t="shared" si="61" ref="G274:U274">G275</f>
        <v>25131</v>
      </c>
      <c r="H274" s="23">
        <f t="shared" si="61"/>
        <v>0</v>
      </c>
      <c r="I274" s="23">
        <f t="shared" si="61"/>
        <v>0</v>
      </c>
      <c r="J274" s="23">
        <f t="shared" si="61"/>
        <v>0</v>
      </c>
      <c r="K274" s="23">
        <f t="shared" si="61"/>
        <v>988</v>
      </c>
      <c r="L274" s="23">
        <f t="shared" si="61"/>
        <v>0</v>
      </c>
      <c r="M274" s="23">
        <f t="shared" si="61"/>
        <v>0</v>
      </c>
      <c r="N274" s="23">
        <f t="shared" si="61"/>
        <v>0</v>
      </c>
      <c r="O274" s="23">
        <f t="shared" si="61"/>
        <v>0</v>
      </c>
      <c r="P274" s="23">
        <f t="shared" si="61"/>
        <v>0</v>
      </c>
      <c r="Q274" s="23">
        <f t="shared" si="61"/>
        <v>-2177</v>
      </c>
      <c r="R274" s="23">
        <f t="shared" si="61"/>
        <v>0</v>
      </c>
      <c r="S274" s="23">
        <f t="shared" si="61"/>
        <v>0</v>
      </c>
      <c r="T274" s="23">
        <f t="shared" si="61"/>
        <v>0</v>
      </c>
      <c r="U274" s="23">
        <f t="shared" si="61"/>
        <v>-734.44</v>
      </c>
      <c r="V274" s="23"/>
      <c r="W274" s="80">
        <f>W275</f>
        <v>23207.56</v>
      </c>
    </row>
    <row r="275" spans="1:23" ht="12.75">
      <c r="A275" s="75" t="s">
        <v>476</v>
      </c>
      <c r="B275" s="76" t="s">
        <v>62</v>
      </c>
      <c r="C275" s="76">
        <v>10</v>
      </c>
      <c r="D275" s="76" t="s">
        <v>275</v>
      </c>
      <c r="E275" s="76" t="s">
        <v>490</v>
      </c>
      <c r="F275" s="76" t="s">
        <v>477</v>
      </c>
      <c r="G275" s="23">
        <f>25131000/1000</f>
        <v>25131</v>
      </c>
      <c r="H275" s="77"/>
      <c r="I275" s="77"/>
      <c r="J275" s="77"/>
      <c r="K275" s="77">
        <v>988</v>
      </c>
      <c r="L275" s="77"/>
      <c r="M275" s="77"/>
      <c r="N275" s="77"/>
      <c r="O275" s="77"/>
      <c r="P275" s="77"/>
      <c r="Q275" s="77">
        <v>-2177</v>
      </c>
      <c r="R275" s="77"/>
      <c r="S275" s="77"/>
      <c r="T275" s="77"/>
      <c r="U275" s="77">
        <v>-734.44</v>
      </c>
      <c r="V275" s="77"/>
      <c r="W275" s="78">
        <f>G275+H275+K275+R275+Q275+U275</f>
        <v>23207.56</v>
      </c>
    </row>
    <row r="276" spans="1:23" ht="25.5">
      <c r="A276" s="112" t="s">
        <v>374</v>
      </c>
      <c r="B276" s="76" t="s">
        <v>62</v>
      </c>
      <c r="C276" s="70">
        <v>10</v>
      </c>
      <c r="D276" s="76" t="s">
        <v>275</v>
      </c>
      <c r="E276" s="70" t="s">
        <v>491</v>
      </c>
      <c r="F276" s="76"/>
      <c r="G276" s="23">
        <f>G277+G279</f>
        <v>1791</v>
      </c>
      <c r="H276" s="23">
        <f>H277+H279</f>
        <v>0</v>
      </c>
      <c r="I276" s="23"/>
      <c r="J276" s="23">
        <f>J277+J279+J281</f>
        <v>963</v>
      </c>
      <c r="K276" s="23">
        <f aca="true" t="shared" si="62" ref="K276:U276">K277+K279+K281</f>
        <v>0</v>
      </c>
      <c r="L276" s="23">
        <f t="shared" si="62"/>
        <v>0</v>
      </c>
      <c r="M276" s="23">
        <f t="shared" si="62"/>
        <v>359</v>
      </c>
      <c r="N276" s="23">
        <f t="shared" si="62"/>
        <v>0</v>
      </c>
      <c r="O276" s="23">
        <f t="shared" si="62"/>
        <v>0</v>
      </c>
      <c r="P276" s="23">
        <f t="shared" si="62"/>
        <v>0</v>
      </c>
      <c r="Q276" s="23">
        <f t="shared" si="62"/>
        <v>0</v>
      </c>
      <c r="R276" s="23">
        <f t="shared" si="62"/>
        <v>0</v>
      </c>
      <c r="S276" s="23">
        <f t="shared" si="62"/>
        <v>0</v>
      </c>
      <c r="T276" s="23">
        <f t="shared" si="62"/>
        <v>0</v>
      </c>
      <c r="U276" s="23">
        <f t="shared" si="62"/>
        <v>-90</v>
      </c>
      <c r="V276" s="23"/>
      <c r="W276" s="80">
        <f>W277+W279</f>
        <v>2060</v>
      </c>
    </row>
    <row r="277" spans="1:23" ht="51">
      <c r="A277" s="75" t="s">
        <v>492</v>
      </c>
      <c r="B277" s="76" t="s">
        <v>62</v>
      </c>
      <c r="C277" s="70">
        <v>10</v>
      </c>
      <c r="D277" s="76" t="s">
        <v>275</v>
      </c>
      <c r="E277" s="70" t="s">
        <v>493</v>
      </c>
      <c r="F277" s="76"/>
      <c r="G277" s="23">
        <f>G278</f>
        <v>614</v>
      </c>
      <c r="H277" s="23">
        <f aca="true" t="shared" si="63" ref="H277:U277">H278</f>
        <v>0</v>
      </c>
      <c r="I277" s="23">
        <f t="shared" si="63"/>
        <v>0</v>
      </c>
      <c r="J277" s="23">
        <f t="shared" si="63"/>
        <v>0</v>
      </c>
      <c r="K277" s="23">
        <f t="shared" si="63"/>
        <v>0</v>
      </c>
      <c r="L277" s="23">
        <f t="shared" si="63"/>
        <v>0</v>
      </c>
      <c r="M277" s="23">
        <f t="shared" si="63"/>
        <v>166</v>
      </c>
      <c r="N277" s="23">
        <f t="shared" si="63"/>
        <v>0</v>
      </c>
      <c r="O277" s="23">
        <f t="shared" si="63"/>
        <v>0</v>
      </c>
      <c r="P277" s="23">
        <f t="shared" si="63"/>
        <v>0</v>
      </c>
      <c r="Q277" s="23">
        <f t="shared" si="63"/>
        <v>0</v>
      </c>
      <c r="R277" s="23">
        <f t="shared" si="63"/>
        <v>0</v>
      </c>
      <c r="S277" s="23">
        <f t="shared" si="63"/>
        <v>0</v>
      </c>
      <c r="T277" s="23">
        <f t="shared" si="63"/>
        <v>0</v>
      </c>
      <c r="U277" s="23">
        <f t="shared" si="63"/>
        <v>-90</v>
      </c>
      <c r="V277" s="23"/>
      <c r="W277" s="80">
        <f>W278</f>
        <v>690</v>
      </c>
    </row>
    <row r="278" spans="1:23" ht="25.5">
      <c r="A278" s="75" t="s">
        <v>266</v>
      </c>
      <c r="B278" s="76" t="s">
        <v>62</v>
      </c>
      <c r="C278" s="70">
        <v>10</v>
      </c>
      <c r="D278" s="76" t="s">
        <v>275</v>
      </c>
      <c r="E278" s="70" t="s">
        <v>493</v>
      </c>
      <c r="F278" s="76" t="s">
        <v>273</v>
      </c>
      <c r="G278" s="23">
        <f>614000/1000</f>
        <v>614</v>
      </c>
      <c r="H278" s="77"/>
      <c r="I278" s="77"/>
      <c r="J278" s="77"/>
      <c r="K278" s="77"/>
      <c r="L278" s="77"/>
      <c r="M278" s="77">
        <v>166</v>
      </c>
      <c r="N278" s="77"/>
      <c r="O278" s="77"/>
      <c r="P278" s="77"/>
      <c r="Q278" s="77"/>
      <c r="R278" s="77"/>
      <c r="S278" s="77"/>
      <c r="T278" s="77"/>
      <c r="U278" s="77">
        <v>-90</v>
      </c>
      <c r="V278" s="77"/>
      <c r="W278" s="78">
        <f>G278+H278+M278+U278</f>
        <v>690</v>
      </c>
    </row>
    <row r="279" spans="1:23" ht="38.25">
      <c r="A279" s="75" t="s">
        <v>494</v>
      </c>
      <c r="B279" s="76" t="s">
        <v>62</v>
      </c>
      <c r="C279" s="70">
        <v>10</v>
      </c>
      <c r="D279" s="76" t="s">
        <v>275</v>
      </c>
      <c r="E279" s="70" t="s">
        <v>495</v>
      </c>
      <c r="F279" s="76"/>
      <c r="G279" s="23">
        <f>G280</f>
        <v>1177</v>
      </c>
      <c r="H279" s="23">
        <f>H280</f>
        <v>0</v>
      </c>
      <c r="I279" s="23"/>
      <c r="J279" s="23"/>
      <c r="K279" s="23"/>
      <c r="L279" s="23"/>
      <c r="M279" s="23">
        <f>M280</f>
        <v>193</v>
      </c>
      <c r="N279" s="23"/>
      <c r="O279" s="23"/>
      <c r="P279" s="23"/>
      <c r="Q279" s="23"/>
      <c r="R279" s="23"/>
      <c r="S279" s="23"/>
      <c r="T279" s="23"/>
      <c r="U279" s="23"/>
      <c r="V279" s="23"/>
      <c r="W279" s="80">
        <f>W280</f>
        <v>1370</v>
      </c>
    </row>
    <row r="280" spans="1:23" ht="25.5">
      <c r="A280" s="75" t="s">
        <v>266</v>
      </c>
      <c r="B280" s="76" t="s">
        <v>62</v>
      </c>
      <c r="C280" s="70">
        <v>10</v>
      </c>
      <c r="D280" s="76" t="s">
        <v>275</v>
      </c>
      <c r="E280" s="70" t="s">
        <v>495</v>
      </c>
      <c r="F280" s="76" t="s">
        <v>273</v>
      </c>
      <c r="G280" s="23">
        <f>1177000/1000</f>
        <v>1177</v>
      </c>
      <c r="H280" s="77"/>
      <c r="I280" s="77"/>
      <c r="J280" s="77"/>
      <c r="K280" s="77"/>
      <c r="L280" s="77"/>
      <c r="M280" s="77">
        <v>193</v>
      </c>
      <c r="N280" s="77"/>
      <c r="O280" s="77"/>
      <c r="P280" s="77"/>
      <c r="Q280" s="77"/>
      <c r="R280" s="77"/>
      <c r="S280" s="77"/>
      <c r="T280" s="77"/>
      <c r="U280" s="77"/>
      <c r="V280" s="77"/>
      <c r="W280" s="78">
        <f>G280+H280+M280</f>
        <v>1370</v>
      </c>
    </row>
    <row r="281" spans="1:23" ht="25.5">
      <c r="A281" s="75" t="s">
        <v>496</v>
      </c>
      <c r="B281" s="76" t="s">
        <v>62</v>
      </c>
      <c r="C281" s="70">
        <v>10</v>
      </c>
      <c r="D281" s="76" t="s">
        <v>275</v>
      </c>
      <c r="E281" s="70">
        <v>5210236</v>
      </c>
      <c r="F281" s="76"/>
      <c r="G281" s="23">
        <v>0</v>
      </c>
      <c r="H281" s="77"/>
      <c r="I281" s="77"/>
      <c r="J281" s="77">
        <f>J282</f>
        <v>963</v>
      </c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8">
        <f>W282</f>
        <v>963</v>
      </c>
    </row>
    <row r="282" spans="1:23" ht="25.5">
      <c r="A282" s="75" t="s">
        <v>266</v>
      </c>
      <c r="B282" s="76" t="s">
        <v>62</v>
      </c>
      <c r="C282" s="70">
        <v>10</v>
      </c>
      <c r="D282" s="76" t="s">
        <v>275</v>
      </c>
      <c r="E282" s="70">
        <v>5210236</v>
      </c>
      <c r="F282" s="76" t="s">
        <v>273</v>
      </c>
      <c r="G282" s="23"/>
      <c r="H282" s="77"/>
      <c r="I282" s="77"/>
      <c r="J282" s="77">
        <v>963</v>
      </c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8">
        <f>J282</f>
        <v>963</v>
      </c>
    </row>
    <row r="283" spans="1:23" ht="25.5">
      <c r="A283" s="73" t="s">
        <v>497</v>
      </c>
      <c r="B283" s="74"/>
      <c r="C283" s="74">
        <v>10</v>
      </c>
      <c r="D283" s="74" t="s">
        <v>282</v>
      </c>
      <c r="E283" s="74"/>
      <c r="F283" s="74"/>
      <c r="G283" s="20">
        <f>G284+G286+G288</f>
        <v>1754.9</v>
      </c>
      <c r="H283" s="20">
        <f>H284+H286+H288</f>
        <v>0</v>
      </c>
      <c r="I283" s="20">
        <f>I284+I286+I288</f>
        <v>0</v>
      </c>
      <c r="J283" s="20">
        <f>J284+J286+J288</f>
        <v>-963</v>
      </c>
      <c r="K283" s="20"/>
      <c r="L283" s="20"/>
      <c r="M283" s="20"/>
      <c r="N283" s="20"/>
      <c r="O283" s="20">
        <f>O286</f>
        <v>-29</v>
      </c>
      <c r="P283" s="20">
        <f>P286</f>
        <v>0</v>
      </c>
      <c r="Q283" s="20">
        <f>Q286</f>
        <v>45</v>
      </c>
      <c r="R283" s="20">
        <f>R286</f>
        <v>0</v>
      </c>
      <c r="S283" s="20"/>
      <c r="T283" s="20"/>
      <c r="U283" s="20"/>
      <c r="V283" s="20"/>
      <c r="W283" s="46">
        <f>W284+W286+W288</f>
        <v>807.9</v>
      </c>
    </row>
    <row r="284" spans="1:23" ht="38.25">
      <c r="A284" s="75" t="s">
        <v>498</v>
      </c>
      <c r="B284" s="76" t="s">
        <v>62</v>
      </c>
      <c r="C284" s="76">
        <v>10</v>
      </c>
      <c r="D284" s="76" t="s">
        <v>282</v>
      </c>
      <c r="E284" s="76" t="s">
        <v>499</v>
      </c>
      <c r="F284" s="76"/>
      <c r="G284" s="23">
        <f>G285</f>
        <v>410.9</v>
      </c>
      <c r="H284" s="23">
        <f>H285</f>
        <v>0</v>
      </c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80">
        <f>W285</f>
        <v>410.9</v>
      </c>
    </row>
    <row r="285" spans="1:23" ht="25.5">
      <c r="A285" s="75" t="s">
        <v>266</v>
      </c>
      <c r="B285" s="76" t="s">
        <v>62</v>
      </c>
      <c r="C285" s="76">
        <v>10</v>
      </c>
      <c r="D285" s="76" t="s">
        <v>282</v>
      </c>
      <c r="E285" s="76" t="s">
        <v>499</v>
      </c>
      <c r="F285" s="76">
        <v>500</v>
      </c>
      <c r="G285" s="23">
        <f>410900/1000</f>
        <v>410.9</v>
      </c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8">
        <f>G285+H285</f>
        <v>410.9</v>
      </c>
    </row>
    <row r="286" spans="1:23" ht="51">
      <c r="A286" s="75" t="s">
        <v>500</v>
      </c>
      <c r="B286" s="76" t="s">
        <v>62</v>
      </c>
      <c r="C286" s="76">
        <v>10</v>
      </c>
      <c r="D286" s="76" t="s">
        <v>282</v>
      </c>
      <c r="E286" s="76" t="s">
        <v>501</v>
      </c>
      <c r="F286" s="76"/>
      <c r="G286" s="23">
        <f>G287</f>
        <v>381</v>
      </c>
      <c r="H286" s="23">
        <f>H287</f>
        <v>0</v>
      </c>
      <c r="I286" s="23"/>
      <c r="J286" s="23"/>
      <c r="K286" s="23"/>
      <c r="L286" s="23"/>
      <c r="M286" s="23"/>
      <c r="N286" s="23"/>
      <c r="O286" s="23">
        <f>O287</f>
        <v>-29</v>
      </c>
      <c r="P286" s="23">
        <f>P287</f>
        <v>0</v>
      </c>
      <c r="Q286" s="23">
        <f>Q287</f>
        <v>45</v>
      </c>
      <c r="R286" s="23">
        <f>R287</f>
        <v>0</v>
      </c>
      <c r="S286" s="23"/>
      <c r="T286" s="23"/>
      <c r="U286" s="23"/>
      <c r="V286" s="23"/>
      <c r="W286" s="80">
        <f>W287</f>
        <v>397</v>
      </c>
    </row>
    <row r="287" spans="1:23" ht="25.5">
      <c r="A287" s="75" t="s">
        <v>266</v>
      </c>
      <c r="B287" s="76" t="s">
        <v>62</v>
      </c>
      <c r="C287" s="76">
        <v>10</v>
      </c>
      <c r="D287" s="76" t="s">
        <v>282</v>
      </c>
      <c r="E287" s="76" t="s">
        <v>501</v>
      </c>
      <c r="F287" s="76">
        <v>500</v>
      </c>
      <c r="G287" s="23">
        <f>381000/1000</f>
        <v>381</v>
      </c>
      <c r="H287" s="77"/>
      <c r="I287" s="77"/>
      <c r="J287" s="77"/>
      <c r="K287" s="77"/>
      <c r="L287" s="77"/>
      <c r="M287" s="77"/>
      <c r="N287" s="77"/>
      <c r="O287" s="77">
        <v>-29</v>
      </c>
      <c r="P287" s="77"/>
      <c r="Q287" s="77">
        <v>45</v>
      </c>
      <c r="R287" s="77"/>
      <c r="S287" s="77"/>
      <c r="T287" s="77"/>
      <c r="U287" s="77"/>
      <c r="V287" s="77"/>
      <c r="W287" s="78">
        <f>G287+H287+O287+P287+Q287+R287</f>
        <v>397</v>
      </c>
    </row>
    <row r="288" spans="1:23" ht="25.5">
      <c r="A288" s="75" t="s">
        <v>496</v>
      </c>
      <c r="B288" s="76" t="s">
        <v>62</v>
      </c>
      <c r="C288" s="70">
        <v>10</v>
      </c>
      <c r="D288" s="76" t="s">
        <v>282</v>
      </c>
      <c r="E288" s="70">
        <v>5210236</v>
      </c>
      <c r="F288" s="76"/>
      <c r="G288" s="23">
        <f>G289</f>
        <v>963</v>
      </c>
      <c r="H288" s="23">
        <f>H289</f>
        <v>0</v>
      </c>
      <c r="I288" s="23"/>
      <c r="J288" s="23">
        <f>J289</f>
        <v>-963</v>
      </c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80">
        <f>W289</f>
        <v>0</v>
      </c>
    </row>
    <row r="289" spans="1:23" ht="25.5">
      <c r="A289" s="75" t="s">
        <v>266</v>
      </c>
      <c r="B289" s="76" t="s">
        <v>62</v>
      </c>
      <c r="C289" s="70">
        <v>10</v>
      </c>
      <c r="D289" s="76" t="s">
        <v>282</v>
      </c>
      <c r="E289" s="70">
        <v>5210236</v>
      </c>
      <c r="F289" s="76" t="s">
        <v>273</v>
      </c>
      <c r="G289" s="23">
        <f>963000/1000</f>
        <v>963</v>
      </c>
      <c r="H289" s="77"/>
      <c r="I289" s="77"/>
      <c r="J289" s="77">
        <v>-963</v>
      </c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8">
        <f>G289+H289+J289</f>
        <v>0</v>
      </c>
    </row>
    <row r="290" spans="1:24" ht="12.75">
      <c r="A290" s="73" t="s">
        <v>502</v>
      </c>
      <c r="B290" s="74"/>
      <c r="C290" s="74">
        <v>11</v>
      </c>
      <c r="D290" s="74"/>
      <c r="E290" s="74"/>
      <c r="F290" s="74"/>
      <c r="G290" s="20">
        <f aca="true" t="shared" si="64" ref="G290:W290">G291+G318+G296+G326</f>
        <v>68381.598</v>
      </c>
      <c r="H290" s="20">
        <f t="shared" si="64"/>
        <v>598.9</v>
      </c>
      <c r="I290" s="20">
        <f t="shared" si="64"/>
        <v>4874.8</v>
      </c>
      <c r="J290" s="20">
        <f t="shared" si="64"/>
        <v>0</v>
      </c>
      <c r="K290" s="20">
        <f t="shared" si="64"/>
        <v>0</v>
      </c>
      <c r="L290" s="20">
        <f t="shared" si="64"/>
        <v>0</v>
      </c>
      <c r="M290" s="130">
        <f t="shared" si="64"/>
        <v>9105</v>
      </c>
      <c r="N290" s="20">
        <f t="shared" si="64"/>
        <v>0</v>
      </c>
      <c r="O290" s="20">
        <f t="shared" si="64"/>
        <v>0</v>
      </c>
      <c r="P290" s="20">
        <f t="shared" si="64"/>
        <v>0</v>
      </c>
      <c r="Q290" s="20">
        <f t="shared" si="64"/>
        <v>63.471000000000004</v>
      </c>
      <c r="R290" s="20">
        <f t="shared" si="64"/>
        <v>0</v>
      </c>
      <c r="S290" s="20">
        <f t="shared" si="64"/>
        <v>0</v>
      </c>
      <c r="T290" s="20">
        <f t="shared" si="64"/>
        <v>1390.6594799999998</v>
      </c>
      <c r="U290" s="20">
        <f t="shared" si="64"/>
        <v>1091.07</v>
      </c>
      <c r="V290" s="20"/>
      <c r="W290" s="46">
        <f t="shared" si="64"/>
        <v>85505.49848</v>
      </c>
      <c r="X290" s="29"/>
    </row>
    <row r="291" spans="1:23" ht="25.5">
      <c r="A291" s="73" t="s">
        <v>503</v>
      </c>
      <c r="B291" s="74"/>
      <c r="C291" s="74">
        <v>11</v>
      </c>
      <c r="D291" s="74" t="s">
        <v>91</v>
      </c>
      <c r="E291" s="74"/>
      <c r="F291" s="74"/>
      <c r="G291" s="20">
        <f aca="true" t="shared" si="65" ref="G291:L291">G292</f>
        <v>66259</v>
      </c>
      <c r="H291" s="20">
        <f t="shared" si="65"/>
        <v>0</v>
      </c>
      <c r="I291" s="20">
        <f t="shared" si="65"/>
        <v>0</v>
      </c>
      <c r="J291" s="20">
        <f t="shared" si="65"/>
        <v>0</v>
      </c>
      <c r="K291" s="20">
        <f t="shared" si="65"/>
        <v>0</v>
      </c>
      <c r="L291" s="20">
        <f t="shared" si="65"/>
        <v>0</v>
      </c>
      <c r="M291" s="20">
        <f>+M294</f>
        <v>8235</v>
      </c>
      <c r="N291" s="20">
        <f aca="true" t="shared" si="66" ref="N291:S291">N292</f>
        <v>0</v>
      </c>
      <c r="O291" s="20">
        <f t="shared" si="66"/>
        <v>0</v>
      </c>
      <c r="P291" s="20">
        <f t="shared" si="66"/>
        <v>0</v>
      </c>
      <c r="Q291" s="20">
        <f t="shared" si="66"/>
        <v>0</v>
      </c>
      <c r="R291" s="20">
        <f t="shared" si="66"/>
        <v>0</v>
      </c>
      <c r="S291" s="20">
        <f t="shared" si="66"/>
        <v>0</v>
      </c>
      <c r="T291" s="20">
        <f>T292+T294</f>
        <v>1092.3</v>
      </c>
      <c r="U291" s="20">
        <f>U292+U294</f>
        <v>308</v>
      </c>
      <c r="V291" s="20"/>
      <c r="W291" s="46">
        <f>W292+W294</f>
        <v>75894.3</v>
      </c>
    </row>
    <row r="292" spans="1:23" ht="38.25">
      <c r="A292" s="75" t="s">
        <v>504</v>
      </c>
      <c r="B292" s="76" t="s">
        <v>62</v>
      </c>
      <c r="C292" s="76">
        <v>11</v>
      </c>
      <c r="D292" s="76" t="s">
        <v>91</v>
      </c>
      <c r="E292" s="76" t="s">
        <v>505</v>
      </c>
      <c r="F292" s="76"/>
      <c r="G292" s="23">
        <f>G293</f>
        <v>66259</v>
      </c>
      <c r="H292" s="23">
        <f>H293</f>
        <v>0</v>
      </c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80">
        <f>W293</f>
        <v>66259</v>
      </c>
    </row>
    <row r="293" spans="1:23" ht="12.75">
      <c r="A293" s="75" t="s">
        <v>506</v>
      </c>
      <c r="B293" s="76" t="s">
        <v>62</v>
      </c>
      <c r="C293" s="76">
        <v>11</v>
      </c>
      <c r="D293" s="76" t="s">
        <v>91</v>
      </c>
      <c r="E293" s="76" t="s">
        <v>505</v>
      </c>
      <c r="F293" s="76" t="s">
        <v>507</v>
      </c>
      <c r="G293" s="23">
        <f>66259000/1000</f>
        <v>66259</v>
      </c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8">
        <f>G293+H293</f>
        <v>66259</v>
      </c>
    </row>
    <row r="294" spans="1:23" ht="25.5">
      <c r="A294" s="106" t="s">
        <v>107</v>
      </c>
      <c r="B294" s="76" t="s">
        <v>62</v>
      </c>
      <c r="C294" s="76" t="s">
        <v>64</v>
      </c>
      <c r="D294" s="76" t="s">
        <v>91</v>
      </c>
      <c r="E294" s="76" t="s">
        <v>508</v>
      </c>
      <c r="F294" s="76"/>
      <c r="G294" s="105"/>
      <c r="H294" s="77"/>
      <c r="I294" s="77"/>
      <c r="J294" s="77"/>
      <c r="K294" s="77"/>
      <c r="L294" s="77"/>
      <c r="M294" s="77">
        <f>M295</f>
        <v>8235</v>
      </c>
      <c r="N294" s="77"/>
      <c r="O294" s="77"/>
      <c r="P294" s="77"/>
      <c r="Q294" s="77"/>
      <c r="R294" s="77"/>
      <c r="S294" s="77"/>
      <c r="T294" s="77">
        <f>T295</f>
        <v>1092.3</v>
      </c>
      <c r="U294" s="77">
        <f>U295</f>
        <v>308</v>
      </c>
      <c r="V294" s="77"/>
      <c r="W294" s="78">
        <f>W295</f>
        <v>9635.3</v>
      </c>
    </row>
    <row r="295" spans="1:23" ht="12.75">
      <c r="A295" s="113" t="s">
        <v>509</v>
      </c>
      <c r="B295" s="76" t="s">
        <v>62</v>
      </c>
      <c r="C295" s="76" t="s">
        <v>64</v>
      </c>
      <c r="D295" s="76" t="s">
        <v>91</v>
      </c>
      <c r="E295" s="76" t="s">
        <v>508</v>
      </c>
      <c r="F295" s="76" t="s">
        <v>510</v>
      </c>
      <c r="G295" s="23"/>
      <c r="H295" s="77"/>
      <c r="I295" s="77"/>
      <c r="J295" s="77"/>
      <c r="K295" s="77"/>
      <c r="L295" s="77"/>
      <c r="M295" s="77">
        <v>8235</v>
      </c>
      <c r="N295" s="77"/>
      <c r="O295" s="77"/>
      <c r="P295" s="77"/>
      <c r="Q295" s="77"/>
      <c r="R295" s="77"/>
      <c r="S295" s="77"/>
      <c r="T295" s="77">
        <v>1092.3</v>
      </c>
      <c r="U295" s="77">
        <f>38.3+269.7</f>
        <v>308</v>
      </c>
      <c r="V295" s="77"/>
      <c r="W295" s="78">
        <f>M295+T295+U295</f>
        <v>9635.3</v>
      </c>
    </row>
    <row r="296" spans="1:23" ht="38.25">
      <c r="A296" s="73" t="s">
        <v>109</v>
      </c>
      <c r="B296" s="76"/>
      <c r="C296" s="74">
        <v>11</v>
      </c>
      <c r="D296" s="74" t="s">
        <v>102</v>
      </c>
      <c r="E296" s="74"/>
      <c r="F296" s="74"/>
      <c r="G296" s="88"/>
      <c r="H296" s="77"/>
      <c r="I296" s="77">
        <f>I299+I301+I303</f>
        <v>4874.8</v>
      </c>
      <c r="J296" s="77">
        <f>J299+J301+J303</f>
        <v>0</v>
      </c>
      <c r="K296" s="77"/>
      <c r="L296" s="77"/>
      <c r="M296" s="77">
        <f>M303</f>
        <v>870</v>
      </c>
      <c r="N296" s="77"/>
      <c r="O296" s="77"/>
      <c r="P296" s="77"/>
      <c r="Q296" s="77"/>
      <c r="R296" s="77"/>
      <c r="S296" s="77"/>
      <c r="T296" s="114">
        <f>T303</f>
        <v>298.35947999999996</v>
      </c>
      <c r="U296" s="114">
        <f>U303+U297</f>
        <v>783.0699999999999</v>
      </c>
      <c r="V296" s="114"/>
      <c r="W296" s="96">
        <f>W299+W301+W303+W297</f>
        <v>6826.22948</v>
      </c>
    </row>
    <row r="297" spans="1:23" ht="25.5">
      <c r="A297" s="37" t="s">
        <v>555</v>
      </c>
      <c r="B297" s="76" t="s">
        <v>62</v>
      </c>
      <c r="C297" s="76" t="s">
        <v>64</v>
      </c>
      <c r="D297" s="76" t="s">
        <v>102</v>
      </c>
      <c r="E297" s="76" t="s">
        <v>554</v>
      </c>
      <c r="F297" s="76"/>
      <c r="G297" s="88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114"/>
      <c r="U297" s="77">
        <f>U298</f>
        <v>706.77</v>
      </c>
      <c r="V297" s="77"/>
      <c r="W297" s="78">
        <f>W298</f>
        <v>706.77</v>
      </c>
    </row>
    <row r="298" spans="1:23" ht="12.75">
      <c r="A298" s="75" t="s">
        <v>512</v>
      </c>
      <c r="B298" s="76" t="s">
        <v>62</v>
      </c>
      <c r="C298" s="76" t="s">
        <v>64</v>
      </c>
      <c r="D298" s="76" t="s">
        <v>102</v>
      </c>
      <c r="E298" s="76" t="s">
        <v>554</v>
      </c>
      <c r="F298" s="76" t="s">
        <v>62</v>
      </c>
      <c r="G298" s="88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114"/>
      <c r="U298" s="77">
        <f>545.27+161.5</f>
        <v>706.77</v>
      </c>
      <c r="V298" s="77"/>
      <c r="W298" s="78">
        <f>U298</f>
        <v>706.77</v>
      </c>
    </row>
    <row r="299" spans="1:23" ht="25.5">
      <c r="A299" s="86" t="s">
        <v>333</v>
      </c>
      <c r="B299" s="76" t="s">
        <v>62</v>
      </c>
      <c r="C299" s="76">
        <v>11</v>
      </c>
      <c r="D299" s="76" t="s">
        <v>102</v>
      </c>
      <c r="E299" s="76" t="s">
        <v>511</v>
      </c>
      <c r="F299" s="74"/>
      <c r="G299" s="88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8"/>
    </row>
    <row r="300" spans="1:23" ht="12.75">
      <c r="A300" s="75" t="s">
        <v>512</v>
      </c>
      <c r="B300" s="76" t="s">
        <v>62</v>
      </c>
      <c r="C300" s="76">
        <v>11</v>
      </c>
      <c r="D300" s="76" t="s">
        <v>102</v>
      </c>
      <c r="E300" s="76" t="s">
        <v>511</v>
      </c>
      <c r="F300" s="76" t="s">
        <v>62</v>
      </c>
      <c r="G300" s="88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8"/>
    </row>
    <row r="301" spans="1:23" ht="51">
      <c r="A301" s="115" t="s">
        <v>359</v>
      </c>
      <c r="B301" s="76" t="s">
        <v>62</v>
      </c>
      <c r="C301" s="76" t="s">
        <v>64</v>
      </c>
      <c r="D301" s="76" t="s">
        <v>102</v>
      </c>
      <c r="E301" s="76" t="s">
        <v>360</v>
      </c>
      <c r="F301" s="76"/>
      <c r="G301" s="90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8"/>
    </row>
    <row r="302" spans="1:23" ht="12.75">
      <c r="A302" s="75" t="s">
        <v>512</v>
      </c>
      <c r="B302" s="76" t="s">
        <v>62</v>
      </c>
      <c r="C302" s="76" t="s">
        <v>64</v>
      </c>
      <c r="D302" s="76" t="s">
        <v>102</v>
      </c>
      <c r="E302" s="76" t="s">
        <v>360</v>
      </c>
      <c r="F302" s="76" t="s">
        <v>62</v>
      </c>
      <c r="G302" s="90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8"/>
    </row>
    <row r="303" spans="1:23" ht="25.5">
      <c r="A303" s="73" t="s">
        <v>374</v>
      </c>
      <c r="B303" s="76"/>
      <c r="C303" s="74">
        <v>11</v>
      </c>
      <c r="D303" s="74" t="s">
        <v>102</v>
      </c>
      <c r="E303" s="74" t="s">
        <v>375</v>
      </c>
      <c r="F303" s="74"/>
      <c r="G303" s="88"/>
      <c r="H303" s="77"/>
      <c r="I303" s="114">
        <f>I306+I308+I310+I312+I314+I316</f>
        <v>4874.8</v>
      </c>
      <c r="J303" s="114">
        <f>J306+J308+J310+J312+J314+J316</f>
        <v>0</v>
      </c>
      <c r="K303" s="114"/>
      <c r="L303" s="114"/>
      <c r="M303" s="114">
        <f>M308</f>
        <v>870</v>
      </c>
      <c r="N303" s="114">
        <f aca="true" t="shared" si="67" ref="N303:S303">N306+N308+N310+N312+N314+N316</f>
        <v>0</v>
      </c>
      <c r="O303" s="114">
        <f t="shared" si="67"/>
        <v>0</v>
      </c>
      <c r="P303" s="114">
        <f t="shared" si="67"/>
        <v>0</v>
      </c>
      <c r="Q303" s="114">
        <f t="shared" si="67"/>
        <v>0</v>
      </c>
      <c r="R303" s="114">
        <f t="shared" si="67"/>
        <v>0</v>
      </c>
      <c r="S303" s="114">
        <f t="shared" si="67"/>
        <v>0</v>
      </c>
      <c r="T303" s="114">
        <f>T306+T308+T310+T312+T314+T316+T304</f>
        <v>298.35947999999996</v>
      </c>
      <c r="U303" s="114">
        <f>U306+U308+U310+U312+U314+U316+U304</f>
        <v>76.30000000000001</v>
      </c>
      <c r="V303" s="114"/>
      <c r="W303" s="96">
        <f>W306+W308+W310+W312+W314+W316+W304</f>
        <v>6119.45948</v>
      </c>
    </row>
    <row r="304" spans="1:23" ht="51">
      <c r="A304" s="37" t="s">
        <v>359</v>
      </c>
      <c r="B304" s="76" t="s">
        <v>62</v>
      </c>
      <c r="C304" s="76" t="s">
        <v>64</v>
      </c>
      <c r="D304" s="76" t="s">
        <v>102</v>
      </c>
      <c r="E304" s="76" t="s">
        <v>360</v>
      </c>
      <c r="F304" s="74"/>
      <c r="G304" s="88"/>
      <c r="H304" s="77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>
        <f>T305</f>
        <v>298.35947999999996</v>
      </c>
      <c r="U304" s="114"/>
      <c r="V304" s="114"/>
      <c r="W304" s="78">
        <f>W305</f>
        <v>298.35947999999996</v>
      </c>
    </row>
    <row r="305" spans="1:23" ht="12.75">
      <c r="A305" s="75" t="s">
        <v>512</v>
      </c>
      <c r="B305" s="76" t="s">
        <v>62</v>
      </c>
      <c r="C305" s="76" t="s">
        <v>64</v>
      </c>
      <c r="D305" s="76" t="s">
        <v>102</v>
      </c>
      <c r="E305" s="76" t="s">
        <v>360</v>
      </c>
      <c r="F305" s="76" t="s">
        <v>62</v>
      </c>
      <c r="G305" s="88"/>
      <c r="H305" s="77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>
        <f>7.65+275.409+15.30048</f>
        <v>298.35947999999996</v>
      </c>
      <c r="U305" s="114"/>
      <c r="V305" s="114"/>
      <c r="W305" s="78">
        <f>T305</f>
        <v>298.35947999999996</v>
      </c>
    </row>
    <row r="306" spans="1:23" ht="25.5">
      <c r="A306" s="75" t="s">
        <v>513</v>
      </c>
      <c r="B306" s="76" t="s">
        <v>62</v>
      </c>
      <c r="C306" s="76">
        <v>11</v>
      </c>
      <c r="D306" s="76" t="s">
        <v>102</v>
      </c>
      <c r="E306" s="76" t="s">
        <v>514</v>
      </c>
      <c r="F306" s="76"/>
      <c r="G306" s="23"/>
      <c r="H306" s="77"/>
      <c r="I306" s="77">
        <f>I307</f>
        <v>3924.8</v>
      </c>
      <c r="J306" s="77">
        <f>J307</f>
        <v>0</v>
      </c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>
        <f>U307</f>
        <v>-503.66</v>
      </c>
      <c r="V306" s="77"/>
      <c r="W306" s="78">
        <f>W307</f>
        <v>3421.1400000000003</v>
      </c>
    </row>
    <row r="307" spans="1:23" ht="12.75">
      <c r="A307" s="75" t="s">
        <v>512</v>
      </c>
      <c r="B307" s="76" t="s">
        <v>62</v>
      </c>
      <c r="C307" s="76">
        <v>11</v>
      </c>
      <c r="D307" s="76" t="s">
        <v>102</v>
      </c>
      <c r="E307" s="76" t="s">
        <v>514</v>
      </c>
      <c r="F307" s="76" t="s">
        <v>62</v>
      </c>
      <c r="G307" s="23"/>
      <c r="H307" s="77"/>
      <c r="I307" s="77">
        <v>3924.8</v>
      </c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>
        <v>-503.66</v>
      </c>
      <c r="V307" s="77"/>
      <c r="W307" s="78">
        <f>I307+U307</f>
        <v>3421.1400000000003</v>
      </c>
    </row>
    <row r="308" spans="1:23" ht="51">
      <c r="A308" s="37" t="s">
        <v>515</v>
      </c>
      <c r="B308" s="76" t="s">
        <v>62</v>
      </c>
      <c r="C308" s="76">
        <v>11</v>
      </c>
      <c r="D308" s="76" t="s">
        <v>102</v>
      </c>
      <c r="E308" s="76" t="s">
        <v>516</v>
      </c>
      <c r="F308" s="76"/>
      <c r="G308" s="23"/>
      <c r="H308" s="77"/>
      <c r="I308" s="77"/>
      <c r="J308" s="77"/>
      <c r="K308" s="77"/>
      <c r="L308" s="77"/>
      <c r="M308" s="77">
        <f>M309</f>
        <v>870</v>
      </c>
      <c r="N308" s="77"/>
      <c r="O308" s="77"/>
      <c r="P308" s="77"/>
      <c r="Q308" s="77"/>
      <c r="R308" s="77"/>
      <c r="S308" s="77"/>
      <c r="T308" s="77"/>
      <c r="U308" s="77">
        <f>U309</f>
        <v>579.96</v>
      </c>
      <c r="V308" s="77"/>
      <c r="W308" s="78">
        <f>W309</f>
        <v>1449.96</v>
      </c>
    </row>
    <row r="309" spans="1:23" ht="12.75">
      <c r="A309" s="75" t="s">
        <v>512</v>
      </c>
      <c r="B309" s="76" t="s">
        <v>62</v>
      </c>
      <c r="C309" s="76">
        <v>11</v>
      </c>
      <c r="D309" s="76" t="s">
        <v>102</v>
      </c>
      <c r="E309" s="76" t="s">
        <v>516</v>
      </c>
      <c r="F309" s="76" t="s">
        <v>62</v>
      </c>
      <c r="G309" s="23"/>
      <c r="H309" s="77"/>
      <c r="I309" s="77"/>
      <c r="J309" s="77"/>
      <c r="K309" s="77"/>
      <c r="L309" s="77"/>
      <c r="M309" s="77">
        <v>870</v>
      </c>
      <c r="N309" s="77"/>
      <c r="O309" s="77"/>
      <c r="P309" s="77"/>
      <c r="Q309" s="77"/>
      <c r="R309" s="77"/>
      <c r="S309" s="77"/>
      <c r="T309" s="77"/>
      <c r="U309" s="77">
        <v>579.96</v>
      </c>
      <c r="V309" s="77"/>
      <c r="W309" s="78">
        <f>M309+U309</f>
        <v>1449.96</v>
      </c>
    </row>
    <row r="310" spans="1:23" ht="51" hidden="1">
      <c r="A310" s="101" t="s">
        <v>435</v>
      </c>
      <c r="B310" s="76" t="s">
        <v>62</v>
      </c>
      <c r="C310" s="76">
        <v>11</v>
      </c>
      <c r="D310" s="76" t="s">
        <v>102</v>
      </c>
      <c r="E310" s="76" t="s">
        <v>436</v>
      </c>
      <c r="F310" s="76"/>
      <c r="G310" s="105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8"/>
    </row>
    <row r="311" spans="1:23" ht="12.75" hidden="1">
      <c r="A311" s="97" t="s">
        <v>512</v>
      </c>
      <c r="B311" s="76" t="s">
        <v>62</v>
      </c>
      <c r="C311" s="76">
        <v>11</v>
      </c>
      <c r="D311" s="76" t="s">
        <v>102</v>
      </c>
      <c r="E311" s="76" t="s">
        <v>436</v>
      </c>
      <c r="F311" s="76" t="s">
        <v>62</v>
      </c>
      <c r="G311" s="23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8"/>
    </row>
    <row r="312" spans="1:23" ht="86.25" customHeight="1">
      <c r="A312" s="101" t="s">
        <v>517</v>
      </c>
      <c r="B312" s="76" t="s">
        <v>62</v>
      </c>
      <c r="C312" s="76" t="s">
        <v>64</v>
      </c>
      <c r="D312" s="76" t="s">
        <v>102</v>
      </c>
      <c r="E312" s="76" t="s">
        <v>518</v>
      </c>
      <c r="F312" s="76"/>
      <c r="G312" s="105"/>
      <c r="H312" s="77"/>
      <c r="I312" s="77">
        <f>I313</f>
        <v>950</v>
      </c>
      <c r="J312" s="77">
        <f>J313</f>
        <v>0</v>
      </c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8">
        <f>W313</f>
        <v>950</v>
      </c>
    </row>
    <row r="313" spans="1:23" ht="12.75">
      <c r="A313" s="97" t="s">
        <v>512</v>
      </c>
      <c r="B313" s="76" t="s">
        <v>62</v>
      </c>
      <c r="C313" s="76" t="s">
        <v>64</v>
      </c>
      <c r="D313" s="76" t="s">
        <v>102</v>
      </c>
      <c r="E313" s="76" t="s">
        <v>518</v>
      </c>
      <c r="F313" s="76" t="s">
        <v>62</v>
      </c>
      <c r="G313" s="23"/>
      <c r="H313" s="77"/>
      <c r="I313" s="77">
        <v>950</v>
      </c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8">
        <f>I313</f>
        <v>950</v>
      </c>
    </row>
    <row r="314" spans="1:23" ht="89.25" hidden="1">
      <c r="A314" s="92" t="s">
        <v>519</v>
      </c>
      <c r="B314" s="76" t="s">
        <v>62</v>
      </c>
      <c r="C314" s="76" t="s">
        <v>64</v>
      </c>
      <c r="D314" s="76" t="s">
        <v>102</v>
      </c>
      <c r="E314" s="76" t="s">
        <v>518</v>
      </c>
      <c r="F314" s="76"/>
      <c r="G314" s="23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8"/>
    </row>
    <row r="315" spans="1:23" ht="12.75" hidden="1">
      <c r="A315" s="97" t="s">
        <v>512</v>
      </c>
      <c r="B315" s="76" t="s">
        <v>62</v>
      </c>
      <c r="C315" s="76" t="s">
        <v>64</v>
      </c>
      <c r="D315" s="76" t="s">
        <v>102</v>
      </c>
      <c r="E315" s="76" t="s">
        <v>518</v>
      </c>
      <c r="F315" s="76" t="s">
        <v>62</v>
      </c>
      <c r="G315" s="23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8"/>
    </row>
    <row r="316" spans="1:23" ht="38.25" hidden="1">
      <c r="A316" s="86" t="s">
        <v>520</v>
      </c>
      <c r="B316" s="76" t="s">
        <v>62</v>
      </c>
      <c r="C316" s="76" t="s">
        <v>64</v>
      </c>
      <c r="D316" s="76" t="s">
        <v>102</v>
      </c>
      <c r="E316" s="76" t="s">
        <v>521</v>
      </c>
      <c r="F316" s="76"/>
      <c r="G316" s="23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8"/>
    </row>
    <row r="317" spans="1:23" ht="12.75" hidden="1">
      <c r="A317" s="97" t="s">
        <v>512</v>
      </c>
      <c r="B317" s="76" t="s">
        <v>62</v>
      </c>
      <c r="C317" s="76" t="s">
        <v>64</v>
      </c>
      <c r="D317" s="76" t="s">
        <v>102</v>
      </c>
      <c r="E317" s="76" t="s">
        <v>521</v>
      </c>
      <c r="F317" s="76" t="s">
        <v>62</v>
      </c>
      <c r="G317" s="23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8"/>
    </row>
    <row r="318" spans="1:23" ht="25.5">
      <c r="A318" s="73" t="s">
        <v>522</v>
      </c>
      <c r="B318" s="76"/>
      <c r="C318" s="74">
        <v>11</v>
      </c>
      <c r="D318" s="74" t="s">
        <v>269</v>
      </c>
      <c r="E318" s="74"/>
      <c r="F318" s="74"/>
      <c r="G318" s="20">
        <f>G319</f>
        <v>2122.598</v>
      </c>
      <c r="H318" s="20">
        <f>H319</f>
        <v>0</v>
      </c>
      <c r="I318" s="20">
        <f>I319</f>
        <v>0</v>
      </c>
      <c r="J318" s="20">
        <f>J319</f>
        <v>0</v>
      </c>
      <c r="K318" s="20"/>
      <c r="L318" s="20"/>
      <c r="M318" s="20"/>
      <c r="N318" s="20">
        <f>N319</f>
        <v>0</v>
      </c>
      <c r="O318" s="20">
        <f>O319</f>
        <v>0</v>
      </c>
      <c r="P318" s="20">
        <f>P319</f>
        <v>0</v>
      </c>
      <c r="Q318" s="20">
        <f>Q319</f>
        <v>-51.283</v>
      </c>
      <c r="R318" s="20">
        <f>R319+R320</f>
        <v>0</v>
      </c>
      <c r="S318" s="20"/>
      <c r="T318" s="20"/>
      <c r="U318" s="20"/>
      <c r="V318" s="20"/>
      <c r="W318" s="46">
        <f>W319</f>
        <v>2071.315</v>
      </c>
    </row>
    <row r="319" spans="1:23" ht="25.5">
      <c r="A319" s="75" t="s">
        <v>523</v>
      </c>
      <c r="B319" s="76" t="s">
        <v>62</v>
      </c>
      <c r="C319" s="76">
        <v>11</v>
      </c>
      <c r="D319" s="76" t="s">
        <v>269</v>
      </c>
      <c r="E319" s="76" t="s">
        <v>524</v>
      </c>
      <c r="F319" s="76"/>
      <c r="G319" s="23">
        <f>G320+G322</f>
        <v>2122.598</v>
      </c>
      <c r="H319" s="23">
        <f>H320+H322</f>
        <v>0</v>
      </c>
      <c r="I319" s="23"/>
      <c r="J319" s="23"/>
      <c r="K319" s="23"/>
      <c r="L319" s="23"/>
      <c r="M319" s="23"/>
      <c r="N319" s="23"/>
      <c r="O319" s="23"/>
      <c r="P319" s="23"/>
      <c r="Q319" s="23">
        <f>Q320+Q322</f>
        <v>-51.283</v>
      </c>
      <c r="R319" s="23"/>
      <c r="S319" s="23"/>
      <c r="T319" s="23"/>
      <c r="U319" s="23"/>
      <c r="V319" s="23"/>
      <c r="W319" s="80">
        <f>W320+W322</f>
        <v>2071.315</v>
      </c>
    </row>
    <row r="320" spans="1:23" ht="38.25">
      <c r="A320" s="75" t="s">
        <v>525</v>
      </c>
      <c r="B320" s="76" t="s">
        <v>62</v>
      </c>
      <c r="C320" s="76">
        <v>11</v>
      </c>
      <c r="D320" s="76" t="s">
        <v>269</v>
      </c>
      <c r="E320" s="76" t="s">
        <v>526</v>
      </c>
      <c r="F320" s="76"/>
      <c r="G320" s="23">
        <f>G321</f>
        <v>1922.598</v>
      </c>
      <c r="H320" s="23">
        <f>H321</f>
        <v>0</v>
      </c>
      <c r="I320" s="23"/>
      <c r="J320" s="23"/>
      <c r="K320" s="23"/>
      <c r="L320" s="23"/>
      <c r="M320" s="23"/>
      <c r="N320" s="23"/>
      <c r="O320" s="23"/>
      <c r="P320" s="23"/>
      <c r="Q320" s="23">
        <f>Q321</f>
        <v>-51.283</v>
      </c>
      <c r="R320" s="23"/>
      <c r="S320" s="23"/>
      <c r="T320" s="23"/>
      <c r="U320" s="23"/>
      <c r="V320" s="23"/>
      <c r="W320" s="80">
        <f>W321</f>
        <v>1871.315</v>
      </c>
    </row>
    <row r="321" spans="1:23" ht="12.75">
      <c r="A321" s="75" t="s">
        <v>527</v>
      </c>
      <c r="B321" s="76" t="s">
        <v>62</v>
      </c>
      <c r="C321" s="76">
        <v>11</v>
      </c>
      <c r="D321" s="76" t="s">
        <v>269</v>
      </c>
      <c r="E321" s="76" t="s">
        <v>526</v>
      </c>
      <c r="F321" s="76" t="s">
        <v>528</v>
      </c>
      <c r="G321" s="23">
        <f>1922598/1000</f>
        <v>1922.598</v>
      </c>
      <c r="H321" s="77"/>
      <c r="I321" s="77"/>
      <c r="J321" s="77"/>
      <c r="K321" s="77"/>
      <c r="L321" s="77"/>
      <c r="M321" s="77"/>
      <c r="N321" s="77"/>
      <c r="O321" s="77"/>
      <c r="P321" s="77"/>
      <c r="Q321" s="77">
        <v>-51.283</v>
      </c>
      <c r="R321" s="77"/>
      <c r="S321" s="77"/>
      <c r="T321" s="77"/>
      <c r="U321" s="77"/>
      <c r="V321" s="77"/>
      <c r="W321" s="78">
        <f>G321+H321+R321+Q321</f>
        <v>1871.315</v>
      </c>
    </row>
    <row r="322" spans="1:23" ht="25.5">
      <c r="A322" s="75" t="s">
        <v>529</v>
      </c>
      <c r="B322" s="76" t="s">
        <v>62</v>
      </c>
      <c r="C322" s="76">
        <v>11</v>
      </c>
      <c r="D322" s="76" t="s">
        <v>269</v>
      </c>
      <c r="E322" s="76" t="s">
        <v>530</v>
      </c>
      <c r="F322" s="76"/>
      <c r="G322" s="23">
        <f>G323</f>
        <v>200</v>
      </c>
      <c r="H322" s="23">
        <f>H323</f>
        <v>0</v>
      </c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80">
        <f>W323</f>
        <v>200</v>
      </c>
    </row>
    <row r="323" spans="1:23" ht="12.75">
      <c r="A323" s="75" t="s">
        <v>527</v>
      </c>
      <c r="B323" s="76" t="s">
        <v>62</v>
      </c>
      <c r="C323" s="76">
        <v>11</v>
      </c>
      <c r="D323" s="76" t="s">
        <v>269</v>
      </c>
      <c r="E323" s="76" t="s">
        <v>530</v>
      </c>
      <c r="F323" s="76" t="s">
        <v>528</v>
      </c>
      <c r="G323" s="23">
        <f>200000/1000</f>
        <v>200</v>
      </c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8">
        <f>G323+H323</f>
        <v>200</v>
      </c>
    </row>
    <row r="324" spans="1:23" ht="25.5">
      <c r="A324" s="75" t="s">
        <v>531</v>
      </c>
      <c r="B324" s="76" t="s">
        <v>62</v>
      </c>
      <c r="C324" s="76">
        <v>11</v>
      </c>
      <c r="D324" s="76" t="s">
        <v>269</v>
      </c>
      <c r="E324" s="76" t="s">
        <v>532</v>
      </c>
      <c r="F324" s="76"/>
      <c r="G324" s="90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8"/>
    </row>
    <row r="325" spans="1:23" ht="12.75">
      <c r="A325" s="75" t="s">
        <v>527</v>
      </c>
      <c r="B325" s="76" t="s">
        <v>62</v>
      </c>
      <c r="C325" s="76">
        <v>11</v>
      </c>
      <c r="D325" s="76" t="s">
        <v>269</v>
      </c>
      <c r="E325" s="76" t="s">
        <v>532</v>
      </c>
      <c r="F325" s="76" t="s">
        <v>528</v>
      </c>
      <c r="G325" s="90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8"/>
    </row>
    <row r="326" spans="1:23" ht="12.75">
      <c r="A326" s="73" t="s">
        <v>215</v>
      </c>
      <c r="B326" s="76"/>
      <c r="C326" s="74">
        <v>11</v>
      </c>
      <c r="D326" s="74" t="s">
        <v>275</v>
      </c>
      <c r="E326" s="74"/>
      <c r="F326" s="74"/>
      <c r="G326" s="20"/>
      <c r="H326" s="114">
        <f aca="true" t="shared" si="68" ref="H326:O326">H327+H329+H331</f>
        <v>598.9</v>
      </c>
      <c r="I326" s="114">
        <f t="shared" si="68"/>
        <v>0</v>
      </c>
      <c r="J326" s="114">
        <f t="shared" si="68"/>
        <v>0</v>
      </c>
      <c r="K326" s="114">
        <f t="shared" si="68"/>
        <v>0</v>
      </c>
      <c r="L326" s="114">
        <f t="shared" si="68"/>
        <v>0</v>
      </c>
      <c r="M326" s="114">
        <f t="shared" si="68"/>
        <v>0</v>
      </c>
      <c r="N326" s="114">
        <f t="shared" si="68"/>
        <v>0</v>
      </c>
      <c r="O326" s="114">
        <f t="shared" si="68"/>
        <v>0</v>
      </c>
      <c r="P326" s="114">
        <f>P327+P329+P331+P333</f>
        <v>0</v>
      </c>
      <c r="Q326" s="114">
        <f>Q327+Q329+Q331+Q333</f>
        <v>114.754</v>
      </c>
      <c r="R326" s="114">
        <f>R327+R329+R331+R333</f>
        <v>0</v>
      </c>
      <c r="S326" s="114"/>
      <c r="T326" s="114"/>
      <c r="U326" s="114"/>
      <c r="V326" s="114"/>
      <c r="W326" s="96">
        <f>W327+W329+W331+W333</f>
        <v>713.654</v>
      </c>
    </row>
    <row r="327" spans="1:23" ht="51">
      <c r="A327" s="75" t="s">
        <v>533</v>
      </c>
      <c r="B327" s="76" t="s">
        <v>62</v>
      </c>
      <c r="C327" s="76">
        <v>11</v>
      </c>
      <c r="D327" s="76" t="s">
        <v>275</v>
      </c>
      <c r="E327" s="76" t="s">
        <v>534</v>
      </c>
      <c r="F327" s="76"/>
      <c r="G327" s="23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8"/>
    </row>
    <row r="328" spans="1:23" ht="12.75">
      <c r="A328" s="75" t="s">
        <v>215</v>
      </c>
      <c r="B328" s="76" t="s">
        <v>62</v>
      </c>
      <c r="C328" s="76">
        <v>11</v>
      </c>
      <c r="D328" s="76" t="s">
        <v>275</v>
      </c>
      <c r="E328" s="76" t="s">
        <v>534</v>
      </c>
      <c r="F328" s="76" t="s">
        <v>535</v>
      </c>
      <c r="G328" s="23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8"/>
    </row>
    <row r="329" spans="1:23" ht="25.5">
      <c r="A329" s="75" t="s">
        <v>536</v>
      </c>
      <c r="B329" s="76" t="s">
        <v>62</v>
      </c>
      <c r="C329" s="76">
        <v>11</v>
      </c>
      <c r="D329" s="76" t="s">
        <v>275</v>
      </c>
      <c r="E329" s="76" t="s">
        <v>537</v>
      </c>
      <c r="F329" s="76"/>
      <c r="G329" s="105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8"/>
    </row>
    <row r="330" spans="1:23" ht="12.75">
      <c r="A330" s="75" t="s">
        <v>215</v>
      </c>
      <c r="B330" s="76" t="s">
        <v>62</v>
      </c>
      <c r="C330" s="76">
        <v>11</v>
      </c>
      <c r="D330" s="76" t="s">
        <v>275</v>
      </c>
      <c r="E330" s="76" t="s">
        <v>537</v>
      </c>
      <c r="F330" s="76" t="s">
        <v>535</v>
      </c>
      <c r="G330" s="23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8"/>
    </row>
    <row r="331" spans="1:23" ht="63.75">
      <c r="A331" s="75" t="s">
        <v>538</v>
      </c>
      <c r="B331" s="76" t="s">
        <v>62</v>
      </c>
      <c r="C331" s="76">
        <v>11</v>
      </c>
      <c r="D331" s="76" t="s">
        <v>275</v>
      </c>
      <c r="E331" s="76" t="s">
        <v>539</v>
      </c>
      <c r="F331" s="76"/>
      <c r="G331" s="105"/>
      <c r="H331" s="77">
        <f>H332</f>
        <v>598.9</v>
      </c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8">
        <f>W332</f>
        <v>598.9</v>
      </c>
    </row>
    <row r="332" spans="1:23" ht="12.75">
      <c r="A332" s="75" t="s">
        <v>215</v>
      </c>
      <c r="B332" s="76" t="s">
        <v>62</v>
      </c>
      <c r="C332" s="76">
        <v>11</v>
      </c>
      <c r="D332" s="76" t="s">
        <v>275</v>
      </c>
      <c r="E332" s="76" t="s">
        <v>539</v>
      </c>
      <c r="F332" s="76" t="s">
        <v>535</v>
      </c>
      <c r="G332" s="23"/>
      <c r="H332" s="77">
        <v>598.9</v>
      </c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8">
        <f>H332</f>
        <v>598.9</v>
      </c>
    </row>
    <row r="333" spans="1:23" ht="63.75">
      <c r="A333" s="37" t="s">
        <v>540</v>
      </c>
      <c r="B333" s="76" t="s">
        <v>62</v>
      </c>
      <c r="C333" s="76" t="s">
        <v>64</v>
      </c>
      <c r="D333" s="76" t="s">
        <v>102</v>
      </c>
      <c r="E333" s="76" t="s">
        <v>541</v>
      </c>
      <c r="F333" s="76"/>
      <c r="G333" s="23"/>
      <c r="H333" s="77"/>
      <c r="I333" s="77"/>
      <c r="J333" s="77"/>
      <c r="K333" s="77"/>
      <c r="L333" s="77"/>
      <c r="M333" s="77"/>
      <c r="N333" s="77"/>
      <c r="O333" s="77">
        <f>O334</f>
        <v>0</v>
      </c>
      <c r="P333" s="77">
        <f>P334</f>
        <v>0</v>
      </c>
      <c r="Q333" s="77">
        <f>Q334</f>
        <v>114.754</v>
      </c>
      <c r="R333" s="77">
        <f>R334</f>
        <v>0</v>
      </c>
      <c r="S333" s="77"/>
      <c r="T333" s="77"/>
      <c r="U333" s="77"/>
      <c r="V333" s="77"/>
      <c r="W333" s="78">
        <f>W334</f>
        <v>114.754</v>
      </c>
    </row>
    <row r="334" spans="1:23" ht="12.75">
      <c r="A334" s="37" t="s">
        <v>512</v>
      </c>
      <c r="B334" s="76" t="s">
        <v>62</v>
      </c>
      <c r="C334" s="76" t="s">
        <v>64</v>
      </c>
      <c r="D334" s="76" t="s">
        <v>102</v>
      </c>
      <c r="E334" s="76" t="s">
        <v>541</v>
      </c>
      <c r="F334" s="76" t="s">
        <v>62</v>
      </c>
      <c r="G334" s="23"/>
      <c r="H334" s="77"/>
      <c r="I334" s="77"/>
      <c r="J334" s="77"/>
      <c r="K334" s="77"/>
      <c r="L334" s="77"/>
      <c r="M334" s="77"/>
      <c r="N334" s="77"/>
      <c r="O334" s="77"/>
      <c r="P334" s="77"/>
      <c r="Q334" s="77">
        <v>114.754</v>
      </c>
      <c r="R334" s="77"/>
      <c r="S334" s="77"/>
      <c r="T334" s="77"/>
      <c r="U334" s="77"/>
      <c r="V334" s="77"/>
      <c r="W334" s="78">
        <f>Q334+R334</f>
        <v>114.754</v>
      </c>
    </row>
    <row r="335" spans="1:23" ht="12.75">
      <c r="A335" s="72" t="s">
        <v>257</v>
      </c>
      <c r="B335" s="116"/>
      <c r="C335" s="116"/>
      <c r="D335" s="116"/>
      <c r="E335" s="116"/>
      <c r="F335" s="116"/>
      <c r="G335" s="20">
        <f aca="true" t="shared" si="69" ref="G335:W335">G20+G60+G67+G104+G108+G112+G180+G202+G250+G290</f>
        <v>1317677.6679999998</v>
      </c>
      <c r="H335" s="20">
        <f t="shared" si="69"/>
        <v>31757.800000000003</v>
      </c>
      <c r="I335" s="20">
        <f t="shared" si="69"/>
        <v>21602.052</v>
      </c>
      <c r="J335" s="20">
        <f t="shared" si="69"/>
        <v>0</v>
      </c>
      <c r="K335" s="20">
        <f t="shared" si="69"/>
        <v>22093.421</v>
      </c>
      <c r="L335" s="20">
        <f t="shared" si="69"/>
        <v>0</v>
      </c>
      <c r="M335" s="20">
        <f t="shared" si="69"/>
        <v>24236.7</v>
      </c>
      <c r="N335" s="20">
        <f t="shared" si="69"/>
        <v>-4.547473508864641E-13</v>
      </c>
      <c r="O335" s="20">
        <f t="shared" si="69"/>
        <v>5945.4</v>
      </c>
      <c r="P335" s="20">
        <f t="shared" si="69"/>
        <v>-3.410605131648481E-13</v>
      </c>
      <c r="Q335" s="20">
        <f t="shared" si="69"/>
        <v>-37117.329000000005</v>
      </c>
      <c r="R335" s="20">
        <f t="shared" si="69"/>
        <v>0</v>
      </c>
      <c r="S335" s="46">
        <f t="shared" si="69"/>
        <v>6775.9</v>
      </c>
      <c r="T335" s="46">
        <f t="shared" si="69"/>
        <v>10230.745480000001</v>
      </c>
      <c r="U335" s="46">
        <f t="shared" si="69"/>
        <v>42999.507000000005</v>
      </c>
      <c r="V335" s="46">
        <f t="shared" si="69"/>
        <v>0</v>
      </c>
      <c r="W335" s="46">
        <f t="shared" si="69"/>
        <v>1446201.86448</v>
      </c>
    </row>
    <row r="336" spans="1:23" ht="12.75">
      <c r="A336" s="58"/>
      <c r="B336" s="117"/>
      <c r="C336" s="117"/>
      <c r="D336" s="117"/>
      <c r="E336" s="117"/>
      <c r="F336" s="117"/>
      <c r="G336" s="117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</row>
    <row r="337" spans="1:23" ht="12.75">
      <c r="A337" s="119" t="s">
        <v>542</v>
      </c>
      <c r="B337" s="120"/>
      <c r="C337" s="120"/>
      <c r="D337" s="120"/>
      <c r="E337" s="120"/>
      <c r="F337" s="121"/>
      <c r="G337" s="117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122"/>
      <c r="U337" s="122"/>
      <c r="V337" s="122"/>
      <c r="W337" s="118"/>
    </row>
    <row r="338" spans="1:22" ht="12.75">
      <c r="A338" s="123" t="s">
        <v>543</v>
      </c>
      <c r="B338" s="120"/>
      <c r="C338" s="120"/>
      <c r="D338" s="120"/>
      <c r="E338" s="117" t="s">
        <v>544</v>
      </c>
      <c r="F338" s="117"/>
      <c r="G338" s="117"/>
      <c r="H338" s="122"/>
      <c r="I338" s="122"/>
      <c r="J338" s="122"/>
      <c r="K338" s="122"/>
      <c r="L338" s="122"/>
      <c r="M338" s="118"/>
      <c r="N338" s="122"/>
      <c r="O338" s="122"/>
      <c r="P338" s="122"/>
      <c r="Q338" s="122"/>
      <c r="R338" s="122"/>
      <c r="S338" s="122"/>
      <c r="T338" s="122"/>
      <c r="U338" s="122"/>
      <c r="V338" s="122"/>
    </row>
    <row r="339" spans="1:23" ht="12.75">
      <c r="A339" s="124"/>
      <c r="B339" s="125"/>
      <c r="C339" s="125"/>
      <c r="D339" s="125"/>
      <c r="E339" s="125"/>
      <c r="F339" s="125"/>
      <c r="G339" s="125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  <c r="T339" s="122"/>
      <c r="U339" s="122"/>
      <c r="V339" s="122"/>
      <c r="W339" s="122"/>
    </row>
    <row r="340" spans="1:23" ht="12.75">
      <c r="A340" s="126"/>
      <c r="B340" s="127"/>
      <c r="C340" s="127"/>
      <c r="D340" s="127"/>
      <c r="E340" s="127"/>
      <c r="F340" s="127"/>
      <c r="G340" s="127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  <c r="T340" s="122"/>
      <c r="U340" s="122"/>
      <c r="V340" s="122"/>
      <c r="W340" s="118"/>
    </row>
    <row r="341" spans="2:23" ht="12.75">
      <c r="B341" s="122"/>
      <c r="C341" s="122"/>
      <c r="D341" s="122"/>
      <c r="E341" s="122"/>
      <c r="F341" s="122"/>
      <c r="G341" s="122"/>
      <c r="H341" s="122"/>
      <c r="I341" s="122"/>
      <c r="J341" s="122"/>
      <c r="K341" s="118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</row>
    <row r="342" spans="2:23" ht="12.75">
      <c r="B342" s="122"/>
      <c r="C342" s="122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  <c r="T342" s="122"/>
      <c r="U342" s="122"/>
      <c r="V342" s="122"/>
      <c r="W342" s="122"/>
    </row>
    <row r="343" spans="2:23" ht="12.75">
      <c r="B343" s="122"/>
      <c r="C343" s="122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118"/>
    </row>
    <row r="344" spans="2:23" ht="12.75">
      <c r="B344" s="122"/>
      <c r="C344" s="122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</row>
    <row r="345" spans="2:23" ht="12.75">
      <c r="B345" s="122"/>
      <c r="C345" s="122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  <c r="T345" s="122"/>
      <c r="U345" s="122"/>
      <c r="V345" s="122"/>
      <c r="W345" s="122"/>
    </row>
    <row r="346" spans="2:23" ht="12.75">
      <c r="B346" s="122"/>
      <c r="C346" s="122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  <c r="T346" s="122"/>
      <c r="U346" s="122"/>
      <c r="V346" s="122"/>
      <c r="W346" s="122"/>
    </row>
    <row r="347" spans="2:23" ht="12.75">
      <c r="B347" s="122"/>
      <c r="C347" s="122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  <c r="T347" s="122"/>
      <c r="U347" s="122"/>
      <c r="V347" s="122"/>
      <c r="W347" s="122"/>
    </row>
    <row r="348" spans="2:23" ht="12.75">
      <c r="B348" s="122"/>
      <c r="C348" s="122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  <c r="T348" s="122"/>
      <c r="U348" s="122"/>
      <c r="V348" s="122"/>
      <c r="W348" s="122"/>
    </row>
    <row r="349" spans="2:23" ht="12.75">
      <c r="B349" s="122"/>
      <c r="C349" s="122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  <c r="T349" s="122"/>
      <c r="U349" s="122"/>
      <c r="V349" s="122"/>
      <c r="W349" s="122"/>
    </row>
    <row r="350" spans="2:23" ht="12.75">
      <c r="B350" s="122"/>
      <c r="C350" s="122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  <c r="T350" s="122"/>
      <c r="U350" s="122"/>
      <c r="V350" s="122"/>
      <c r="W350" s="122"/>
    </row>
    <row r="351" spans="2:23" ht="12.75">
      <c r="B351" s="122"/>
      <c r="C351" s="122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  <c r="T351" s="122"/>
      <c r="U351" s="122"/>
      <c r="V351" s="122"/>
      <c r="W351" s="122"/>
    </row>
    <row r="352" spans="2:23" ht="12.75">
      <c r="B352" s="122"/>
      <c r="C352" s="122"/>
      <c r="D352" s="122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  <c r="T352" s="122"/>
      <c r="U352" s="122"/>
      <c r="V352" s="122"/>
      <c r="W352" s="122"/>
    </row>
    <row r="353" spans="2:23" ht="12.75">
      <c r="B353" s="122"/>
      <c r="C353" s="122"/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  <c r="T353" s="122"/>
      <c r="U353" s="122"/>
      <c r="V353" s="122"/>
      <c r="W353" s="122"/>
    </row>
    <row r="354" spans="2:23" ht="12.75">
      <c r="B354" s="122"/>
      <c r="C354" s="122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  <c r="T354" s="122"/>
      <c r="U354" s="122"/>
      <c r="V354" s="122"/>
      <c r="W354" s="122"/>
    </row>
    <row r="355" spans="2:23" ht="12.75">
      <c r="B355" s="122"/>
      <c r="C355" s="122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  <c r="T355" s="122"/>
      <c r="U355" s="122"/>
      <c r="V355" s="122"/>
      <c r="W355" s="122"/>
    </row>
    <row r="356" spans="2:23" ht="12.75">
      <c r="B356" s="122"/>
      <c r="C356" s="122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  <c r="T356" s="122"/>
      <c r="U356" s="122"/>
      <c r="V356" s="122"/>
      <c r="W356" s="122"/>
    </row>
    <row r="357" spans="2:23" ht="12.75">
      <c r="B357" s="122"/>
      <c r="C357" s="122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  <c r="T357" s="122"/>
      <c r="U357" s="122"/>
      <c r="V357" s="122"/>
      <c r="W357" s="122"/>
    </row>
    <row r="358" spans="2:23" ht="12.75">
      <c r="B358" s="122"/>
      <c r="C358" s="122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  <c r="T358" s="122"/>
      <c r="U358" s="122"/>
      <c r="V358" s="122"/>
      <c r="W358" s="122"/>
    </row>
    <row r="359" spans="2:23" ht="12.75">
      <c r="B359" s="122"/>
      <c r="C359" s="122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  <c r="T359" s="122"/>
      <c r="U359" s="122"/>
      <c r="V359" s="122"/>
      <c r="W359" s="122"/>
    </row>
    <row r="360" spans="2:23" ht="12.75">
      <c r="B360" s="122"/>
      <c r="C360" s="122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  <c r="T360" s="122"/>
      <c r="U360" s="122"/>
      <c r="V360" s="122"/>
      <c r="W360" s="122"/>
    </row>
    <row r="361" spans="2:23" ht="12.75">
      <c r="B361" s="122"/>
      <c r="C361" s="122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  <c r="V361" s="122"/>
      <c r="W361" s="122"/>
    </row>
    <row r="362" spans="2:23" ht="12.75">
      <c r="B362" s="122"/>
      <c r="C362" s="122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  <c r="T362" s="122"/>
      <c r="U362" s="122"/>
      <c r="V362" s="122"/>
      <c r="W362" s="122"/>
    </row>
    <row r="363" spans="2:23" ht="12.75">
      <c r="B363" s="122"/>
      <c r="C363" s="122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  <c r="T363" s="122"/>
      <c r="U363" s="122"/>
      <c r="V363" s="122"/>
      <c r="W363" s="122"/>
    </row>
    <row r="364" spans="2:23" ht="12.75">
      <c r="B364" s="122"/>
      <c r="C364" s="122"/>
      <c r="D364" s="122"/>
      <c r="E364" s="122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  <c r="T364" s="122"/>
      <c r="U364" s="122"/>
      <c r="V364" s="122"/>
      <c r="W364" s="122"/>
    </row>
    <row r="365" spans="2:23" ht="12.75">
      <c r="B365" s="122"/>
      <c r="C365" s="122"/>
      <c r="D365" s="122"/>
      <c r="E365" s="122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  <c r="T365" s="122"/>
      <c r="U365" s="122"/>
      <c r="V365" s="122"/>
      <c r="W365" s="122"/>
    </row>
    <row r="366" spans="2:23" ht="12.75">
      <c r="B366" s="122"/>
      <c r="C366" s="122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  <c r="T366" s="122"/>
      <c r="U366" s="122"/>
      <c r="V366" s="122"/>
      <c r="W366" s="122"/>
    </row>
    <row r="367" spans="2:23" ht="12.75">
      <c r="B367" s="122"/>
      <c r="C367" s="122"/>
      <c r="D367" s="122"/>
      <c r="E367" s="122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  <c r="T367" s="122"/>
      <c r="U367" s="122"/>
      <c r="V367" s="122"/>
      <c r="W367" s="122"/>
    </row>
    <row r="368" spans="2:23" ht="12.75"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</row>
    <row r="369" spans="2:23" ht="12.75">
      <c r="B369" s="122"/>
      <c r="C369" s="122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  <c r="T369" s="122"/>
      <c r="U369" s="122"/>
      <c r="V369" s="122"/>
      <c r="W369" s="122"/>
    </row>
    <row r="370" spans="2:23" ht="12.75">
      <c r="B370" s="122"/>
      <c r="C370" s="122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  <c r="T370" s="122"/>
      <c r="U370" s="122"/>
      <c r="V370" s="122"/>
      <c r="W370" s="122"/>
    </row>
  </sheetData>
  <sheetProtection/>
  <mergeCells count="13">
    <mergeCell ref="A10:W10"/>
    <mergeCell ref="A15:G15"/>
    <mergeCell ref="A12:W12"/>
    <mergeCell ref="A13:W13"/>
    <mergeCell ref="A14:W14"/>
    <mergeCell ref="A5:W5"/>
    <mergeCell ref="A7:W7"/>
    <mergeCell ref="A8:W8"/>
    <mergeCell ref="A9:W9"/>
    <mergeCell ref="A1:W1"/>
    <mergeCell ref="A2:W2"/>
    <mergeCell ref="A3:W3"/>
    <mergeCell ref="A4:W4"/>
  </mergeCells>
  <printOptions/>
  <pageMargins left="0.7874015748031497" right="0.7874015748031497" top="0.7874015748031497" bottom="0.7874015748031497" header="0" footer="0"/>
  <pageSetup fitToHeight="8" fitToWidth="1" horizontalDpi="600" verticalDpi="600" orientation="portrait" paperSize="9" scale="75" r:id="rId1"/>
  <rowBreaks count="1" manualBreakCount="1">
    <brk id="278" max="18" man="1"/>
  </rowBreaks>
  <colBreaks count="1" manualBreakCount="1">
    <brk id="10" max="3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budjet_ks</dc:creator>
  <cp:keywords/>
  <dc:description/>
  <cp:lastModifiedBy>Главный специалист</cp:lastModifiedBy>
  <cp:lastPrinted>2010-11-29T06:15:06Z</cp:lastPrinted>
  <dcterms:created xsi:type="dcterms:W3CDTF">2010-11-12T06:06:55Z</dcterms:created>
  <dcterms:modified xsi:type="dcterms:W3CDTF">2010-11-29T06:16:20Z</dcterms:modified>
  <cp:category/>
  <cp:version/>
  <cp:contentType/>
  <cp:contentStatus/>
</cp:coreProperties>
</file>